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filterPrivacy="1" codeName="ThisWorkbook" defaultThemeVersion="124226"/>
  <xr:revisionPtr revIDLastSave="0" documentId="8_{E40C201E-C543-4238-9ABE-4C09093903A3}" xr6:coauthVersionLast="47" xr6:coauthVersionMax="47" xr10:uidLastSave="{00000000-0000-0000-0000-000000000000}"/>
  <bookViews>
    <workbookView xWindow="-110" yWindow="-110" windowWidth="19420" windowHeight="10420" tabRatio="865" xr2:uid="{00000000-000D-0000-FFFF-FFFF00000000}"/>
  </bookViews>
  <sheets>
    <sheet name="ATT H-2A" sheetId="48" r:id="rId1"/>
    <sheet name="1A - ADIT Summary" sheetId="92" r:id="rId2"/>
    <sheet name="1B - ADIT EOY" sheetId="93" r:id="rId3"/>
    <sheet name="1C - ADIT BOY" sheetId="94" r:id="rId4"/>
    <sheet name="1D - ADIT Rate Base Adjustment" sheetId="95" r:id="rId5"/>
    <sheet name="1E - EDIT Amortization" sheetId="96" r:id="rId6"/>
    <sheet name="1F - ADIT Remeasurement" sheetId="97" r:id="rId7"/>
    <sheet name="2 - Other Tax" sheetId="70" r:id="rId8"/>
    <sheet name="3 - Revenue Credits" sheetId="71" r:id="rId9"/>
    <sheet name="Exh E - Cap Add Worksheet" sheetId="55" state="hidden" r:id="rId10"/>
    <sheet name="Exh F - AA-BL Items" sheetId="64" state="hidden" r:id="rId11"/>
    <sheet name="4 - 100 Basis Pt ROE" sheetId="54" r:id="rId12"/>
    <sheet name="5 - Cost Support" sheetId="65" r:id="rId13"/>
    <sheet name="5a - Affiliate Allocations" sheetId="73" r:id="rId14"/>
    <sheet name="6- Reconciliation WS" sheetId="68" r:id="rId15"/>
    <sheet name="7 - Cap Add WS" sheetId="72" r:id="rId16"/>
    <sheet name="8 - Securitization" sheetId="53" r:id="rId17"/>
    <sheet name="9 - Rate Base" sheetId="83" r:id="rId18"/>
    <sheet name="9A - Gross Plant &amp; ARO" sheetId="84" r:id="rId19"/>
    <sheet name="10 - Merger Costs" sheetId="85" r:id="rId20"/>
    <sheet name="11- Depr Rates" sheetId="7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s>
  <definedNames>
    <definedName name="\0">#REF!</definedName>
    <definedName name="\1">'[1]Header Data'!#REF!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8" hidden="1">[15]Inputs!#REF!</definedName>
    <definedName name="__123Graph_B" hidden="1">[15]Inputs!#REF!</definedName>
    <definedName name="__123Graph_C" hidden="1">'[14]AL2 151'!#REF!</definedName>
    <definedName name="__123Graph_D" localSheetId="18"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19" hidden="1">[18]Masterdata!#REF!</definedName>
    <definedName name="_1K" localSheetId="18"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19" hidden="1">[18]Masterdata!#REF!</definedName>
    <definedName name="_2K" localSheetId="18" hidden="1">[18]Masterdata!#REF!</definedName>
    <definedName name="_2K" hidden="1">[18]Masterdata!#REF!</definedName>
    <definedName name="_2QTR">#REF!</definedName>
    <definedName name="_2S" localSheetId="19" hidden="1">[18]Masterdata!#REF!</definedName>
    <definedName name="_2S" localSheetId="18"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19" hidden="1">[18]Masterdata!#REF!</definedName>
    <definedName name="_4S" localSheetId="18"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19" hidden="1">{#N/A,#N/A,FALSE,"EMPPAY"}</definedName>
    <definedName name="_FEB01" hidden="1">{#N/A,#N/A,FALSE,"EMPPAY"}</definedName>
    <definedName name="_FED179">[19]DEPR96!#REF!</definedName>
    <definedName name="_Fill" localSheetId="19" hidden="1">#REF!</definedName>
    <definedName name="_Fill" localSheetId="17" hidden="1">#REF!</definedName>
    <definedName name="_Fill" localSheetId="18" hidden="1">#REF!</definedName>
    <definedName name="_Fill" hidden="1">#REF!</definedName>
    <definedName name="_Fill.1" hidden="1">#REF!</definedName>
    <definedName name="_gas2">#REF!</definedName>
    <definedName name="_gas2006">#REF!</definedName>
    <definedName name="_H1">{"'Metretek HTML'!$A$7:$W$42"}</definedName>
    <definedName name="_JAN01" localSheetId="19" hidden="1">{#N/A,#N/A,FALSE,"EMPPAY"}</definedName>
    <definedName name="_JAN01" hidden="1">{#N/A,#N/A,FALSE,"EMPPAY"}</definedName>
    <definedName name="_JAN2001" localSheetId="19"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18" hidden="1">'[20]Wage SPG 99'!#REF!</definedName>
    <definedName name="_Key1" hidden="1">'[20]Wage SPG 99'!#REF!</definedName>
    <definedName name="_Key2" localSheetId="18"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19" hidden="1">0</definedName>
    <definedName name="_Order2" localSheetId="17" hidden="1">0</definedName>
    <definedName name="_Order2" localSheetId="18"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19"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19" hidden="1">{#N/A,#N/A,FALSE,"EMPPAY"}</definedName>
    <definedName name="A" localSheetId="17" hidden="1">{#N/A,#N/A,FALSE,"EMPPAY"}</definedName>
    <definedName name="a" localSheetId="18">'9A - Gross Plant &amp; ARO'!$E$31</definedName>
    <definedName name="A">#REF!</definedName>
    <definedName name="a.1" hidden="1">{"LBO Summary",#N/A,FALSE,"Summary"}</definedName>
    <definedName name="AA">#REF!</definedName>
    <definedName name="AA.print">#REF!</definedName>
    <definedName name="aaa" localSheetId="19"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[19]DEPR96!#REF!</definedName>
    <definedName name="AC_255">'[22]AC 255'!$A$1:$M$32</definedName>
    <definedName name="AC_282">[23]December!#REF!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#REF!</definedName>
    <definedName name="Accum._Other_Comprehensive_Income">#REF!</definedName>
    <definedName name="ACQ">[19]DEPR96!#REF!</definedName>
    <definedName name="ACRS">#REF!</definedName>
    <definedName name="Active1">#REF!</definedName>
    <definedName name="Active2">#REF!</definedName>
    <definedName name="ActivityType">'[24]Activity Type'!$1:$1048576</definedName>
    <definedName name="ACTTextLen">#REF!</definedName>
    <definedName name="Actual">[25]Assumptions!$E$52</definedName>
    <definedName name="adds2008">#REF!</definedName>
    <definedName name="adfsadfds" localSheetId="19"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#REF!</definedName>
    <definedName name="Admin___Other_Labor_included_in_O_M">#REF!</definedName>
    <definedName name="ads">#REF!</definedName>
    <definedName name="ADTL">'[26]C. Input'!$F$144</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hidden="1">{#N/A,#N/A,FALSE,"Aging Summary";#N/A,#N/A,FALSE,"Ratio Analysis";#N/A,#N/A,FALSE,"Test 120 Day Accts";#N/A,#N/A,FALSE,"Tickmarks"}</definedName>
    <definedName name="AGXP">'[26]C. Input'!$F$201</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#REF!</definedName>
    <definedName name="ALERT2">#REF!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#REF!</definedName>
    <definedName name="Allocator.gross.plant">'[30]Appendix A'!$H$30</definedName>
    <definedName name="Allocator.net.plant">'[30]Appendix A'!$H$33</definedName>
    <definedName name="Allocator.wages.salary">'[30]Appendix A'!$H$18</definedName>
    <definedName name="ALLOW">#REF!</definedName>
    <definedName name="Allow_for_Funds_Used_During_Const.">#REF!</definedName>
    <definedName name="ALLRD">[29]ALL!$C$25</definedName>
    <definedName name="ALLSKP">[29]ALL!$E$25</definedName>
    <definedName name="ALLYRS_MESSAGE">#REF!</definedName>
    <definedName name="ALOC">#REF!</definedName>
    <definedName name="ALOC_2">#REF!</definedName>
    <definedName name="alsdfa" localSheetId="19"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{"'Metretek HTML'!$A$7:$W$42"}</definedName>
    <definedName name="AS2DocOpenMode" hidden="1">"AS2DocumentEdit"</definedName>
    <definedName name="ASD">#REF!</definedName>
    <definedName name="ASD_LEXTERNAL">#REF!</definedName>
    <definedName name="asda">[31]Pepco!#REF!</definedName>
    <definedName name="asdf" localSheetId="19"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9"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9"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19"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#REF!</definedName>
    <definedName name="AUG">#REF!</definedName>
    <definedName name="AV.FM.1..adjusted..print">#REF!</definedName>
    <definedName name="AV.FM.1.print">#REF!</definedName>
    <definedName name="AVG">#REF!</definedName>
    <definedName name="avoidint">"V2001-12-31"</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#REF!</definedName>
    <definedName name="BB.print">#REF!</definedName>
    <definedName name="bbb" localSheetId="19"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19"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8" hidden="1">#REF!</definedName>
    <definedName name="BEx0017DGUEDPCFJUPUZOOLJCS2B" hidden="1">#REF!</definedName>
    <definedName name="BEx001CNWHJ5RULCSFM36ZCGJ1UH" localSheetId="18" hidden="1">#REF!</definedName>
    <definedName name="BEx001CNWHJ5RULCSFM36ZCGJ1UH" hidden="1">#REF!</definedName>
    <definedName name="BEx004791UAJIJSN57OT7YBLNP82" localSheetId="18" hidden="1">#REF!</definedName>
    <definedName name="BEx004791UAJIJSN57OT7YBLNP82" hidden="1">#REF!</definedName>
    <definedName name="BEx008P2NVFDLBHL7IZ5WTMVOQ1F" localSheetId="18" hidden="1">#REF!</definedName>
    <definedName name="BEx008P2NVFDLBHL7IZ5WTMVOQ1F" hidden="1">#REF!</definedName>
    <definedName name="BEx009G00IN0JUIAQ4WE9NHTMQE2" localSheetId="18" hidden="1">#REF!</definedName>
    <definedName name="BEx009G00IN0JUIAQ4WE9NHTMQE2" hidden="1">#REF!</definedName>
    <definedName name="BEx00DXTY2JDVGWQKV8H7FG4SV30" localSheetId="18" hidden="1">#REF!</definedName>
    <definedName name="BEx00DXTY2JDVGWQKV8H7FG4SV30" hidden="1">#REF!</definedName>
    <definedName name="BEx00GHLTYRH5N2S6P78YW1CD30N" localSheetId="18" hidden="1">#REF!</definedName>
    <definedName name="BEx00GHLTYRH5N2S6P78YW1CD30N" hidden="1">#REF!</definedName>
    <definedName name="BEx00JC31DY11L45SEU4B10BIN6W" localSheetId="18" hidden="1">#REF!</definedName>
    <definedName name="BEx00JC31DY11L45SEU4B10BIN6W" hidden="1">#REF!</definedName>
    <definedName name="BEx00KZHZBHP3TDV1YMX4B19B95O" localSheetId="18" hidden="1">#REF!</definedName>
    <definedName name="BEx00KZHZBHP3TDV1YMX4B19B95O" hidden="1">#REF!</definedName>
    <definedName name="BEx00MBY8XXUOHIZ4LHXHPD7WYD5" localSheetId="18" hidden="1">#REF!</definedName>
    <definedName name="BEx00MBY8XXUOHIZ4LHXHPD7WYD5" hidden="1">#REF!</definedName>
    <definedName name="BEx00O4PAWETUBT0XVI1C4OHM15U" localSheetId="18" hidden="1">'[38]10.08.5 - 2008 Capital - TDBU'!#REF!</definedName>
    <definedName name="BEx00O4PAWETUBT0XVI1C4OHM15U" hidden="1">'[38]10.08.5 - 2008 Capital - TDBU'!#REF!</definedName>
    <definedName name="BEx01HY6E3GJ66ABU5ABN26V6Q13" localSheetId="18" hidden="1">#REF!</definedName>
    <definedName name="BEx01HY6E3GJ66ABU5ABN26V6Q13" hidden="1">#REF!</definedName>
    <definedName name="BEx01PQPVA98GRAAKX3HEZZ0XK5C" localSheetId="18" hidden="1">#REF!</definedName>
    <definedName name="BEx01PQPVA98GRAAKX3HEZZ0XK5C" hidden="1">#REF!</definedName>
    <definedName name="BEx01PW5YQKEGAR8JDDI5OARYXDF" localSheetId="18" hidden="1">#REF!</definedName>
    <definedName name="BEx01PW5YQKEGAR8JDDI5OARYXDF" hidden="1">#REF!</definedName>
    <definedName name="BEx01XJ94SHJ1YQ7ORPW0RQGKI2H" localSheetId="18" hidden="1">#REF!</definedName>
    <definedName name="BEx01XJ94SHJ1YQ7ORPW0RQGKI2H" hidden="1">#REF!</definedName>
    <definedName name="BEx0262TTS9LPE4KF6VUW72201AB" localSheetId="18" hidden="1">#REF!</definedName>
    <definedName name="BEx0262TTS9LPE4KF6VUW72201AB" hidden="1">#REF!</definedName>
    <definedName name="BEx02PPH4OWYB9ZB2611OC9DA9MZ" localSheetId="18" hidden="1">#REF!</definedName>
    <definedName name="BEx02PPH4OWYB9ZB2611OC9DA9MZ" hidden="1">#REF!</definedName>
    <definedName name="BEx02Q08R9G839Q4RFGG9026C7PX" localSheetId="18" hidden="1">#REF!</definedName>
    <definedName name="BEx02Q08R9G839Q4RFGG9026C7PX" hidden="1">#REF!</definedName>
    <definedName name="BEx02SEL3Z1QWGAHXDPUA9WLTTPS" localSheetId="18" hidden="1">#REF!</definedName>
    <definedName name="BEx02SEL3Z1QWGAHXDPUA9WLTTPS" hidden="1">#REF!</definedName>
    <definedName name="BEx02Y3KJZH5BGDM9QEZ1PVVI114" localSheetId="18" hidden="1">#REF!</definedName>
    <definedName name="BEx02Y3KJZH5BGDM9QEZ1PVVI114" hidden="1">#REF!</definedName>
    <definedName name="BEx0313GRLLASDTVPW5DHTXHE74M" localSheetId="18" hidden="1">#REF!</definedName>
    <definedName name="BEx0313GRLLASDTVPW5DHTXHE74M" hidden="1">#REF!</definedName>
    <definedName name="BEx1F0SOZ3H5XUHXD7O01TCR8T6J" localSheetId="18" hidden="1">#REF!</definedName>
    <definedName name="BEx1F0SOZ3H5XUHXD7O01TCR8T6J" hidden="1">#REF!</definedName>
    <definedName name="BEx1F9HL824UCNCVZ2U62J4KZCX8" localSheetId="18" hidden="1">#REF!</definedName>
    <definedName name="BEx1F9HL824UCNCVZ2U62J4KZCX8" hidden="1">#REF!</definedName>
    <definedName name="BEx1FEVSJKTI1Q1Z874QZVFSJSVA" localSheetId="18" hidden="1">#REF!</definedName>
    <definedName name="BEx1FEVSJKTI1Q1Z874QZVFSJSVA" hidden="1">#REF!</definedName>
    <definedName name="BEx1FGDRUHHLI1GBHELT4PK0LY4V" localSheetId="18" hidden="1">#REF!</definedName>
    <definedName name="BEx1FGDRUHHLI1GBHELT4PK0LY4V" hidden="1">#REF!</definedName>
    <definedName name="BEx1FJZ7GKO99IYTP6GGGF7EUL3Z" localSheetId="18" hidden="1">#REF!</definedName>
    <definedName name="BEx1FJZ7GKO99IYTP6GGGF7EUL3Z" hidden="1">#REF!</definedName>
    <definedName name="BEx1FXBADB31WUEH8U617C5F40X9" localSheetId="18" hidden="1">#REF!</definedName>
    <definedName name="BEx1FXBADB31WUEH8U617C5F40X9" hidden="1">#REF!</definedName>
    <definedName name="BEx1FZV2CM77TBH1R6YYV9P06KA2" localSheetId="18" hidden="1">#REF!</definedName>
    <definedName name="BEx1FZV2CM77TBH1R6YYV9P06KA2" hidden="1">#REF!</definedName>
    <definedName name="BEx1G59AY8195JTUM6P18VXUFJ3E" localSheetId="18" hidden="1">#REF!</definedName>
    <definedName name="BEx1G59AY8195JTUM6P18VXUFJ3E" hidden="1">#REF!</definedName>
    <definedName name="BEx1GRFPRSO5UT952RBFGUHDUZN5" localSheetId="18" hidden="1">#REF!</definedName>
    <definedName name="BEx1GRFPRSO5UT952RBFGUHDUZN5" hidden="1">#REF!</definedName>
    <definedName name="BEx1GVMRHFXUP6XYYY9NR12PV5TF" localSheetId="18" hidden="1">#REF!</definedName>
    <definedName name="BEx1GVMRHFXUP6XYYY9NR12PV5TF" hidden="1">#REF!</definedName>
    <definedName name="BEx1H6KIT7BHUH6MDDWC935V9N47" localSheetId="18" hidden="1">#REF!</definedName>
    <definedName name="BEx1H6KIT7BHUH6MDDWC935V9N47" hidden="1">#REF!</definedName>
    <definedName name="BEx1HDGOOJ3SKHYMWUZJ1P0RQZ9N" localSheetId="18" hidden="1">#REF!</definedName>
    <definedName name="BEx1HDGOOJ3SKHYMWUZJ1P0RQZ9N" hidden="1">#REF!</definedName>
    <definedName name="BEx1HDM5ZXSJG6JQEMSFV52PZ10V" localSheetId="18" hidden="1">#REF!</definedName>
    <definedName name="BEx1HDM5ZXSJG6JQEMSFV52PZ10V" hidden="1">#REF!</definedName>
    <definedName name="BEx1HETBBZVN5F43LKOFMC4QB0CR" localSheetId="18" hidden="1">#REF!</definedName>
    <definedName name="BEx1HETBBZVN5F43LKOFMC4QB0CR" hidden="1">#REF!</definedName>
    <definedName name="BEx1HGWNWPLNXICOTP90TKQVVE4E" localSheetId="18" hidden="1">#REF!</definedName>
    <definedName name="BEx1HGWNWPLNXICOTP90TKQVVE4E" hidden="1">#REF!</definedName>
    <definedName name="BEx1HIPLJZABY0EMUOTZN0EQMDPU" localSheetId="18" hidden="1">#REF!</definedName>
    <definedName name="BEx1HIPLJZABY0EMUOTZN0EQMDPU" hidden="1">#REF!</definedName>
    <definedName name="BEx1HO94JIRX219MPWMB5E5XZ04X" localSheetId="18" hidden="1">#REF!</definedName>
    <definedName name="BEx1HO94JIRX219MPWMB5E5XZ04X" hidden="1">#REF!</definedName>
    <definedName name="BEx1HQNF6KHM21E3XLW0NMSSEI9S" localSheetId="18" hidden="1">#REF!</definedName>
    <definedName name="BEx1HQNF6KHM21E3XLW0NMSSEI9S" hidden="1">#REF!</definedName>
    <definedName name="BEx1HSLNWIW4S97ZBYY7I7M5YVH4" localSheetId="18" hidden="1">#REF!</definedName>
    <definedName name="BEx1HSLNWIW4S97ZBYY7I7M5YVH4" hidden="1">#REF!</definedName>
    <definedName name="BEx1HU8WGEGZ07PO2AYJ3Q7JV682" localSheetId="18" hidden="1">'[38]10.08.3 - 2008 Expense - TDBU'!#REF!</definedName>
    <definedName name="BEx1HU8WGEGZ07PO2AYJ3Q7JV682" hidden="1">'[38]10.08.3 - 2008 Expense - TDBU'!#REF!</definedName>
    <definedName name="BEx1I4QKTILCKZUSOJCVZN7SNHL5" localSheetId="18" hidden="1">#REF!</definedName>
    <definedName name="BEx1I4QKTILCKZUSOJCVZN7SNHL5" hidden="1">#REF!</definedName>
    <definedName name="BEx1IE0ZP7RIFM9FI24S9I6AAJ14" localSheetId="18" hidden="1">#REF!</definedName>
    <definedName name="BEx1IE0ZP7RIFM9FI24S9I6AAJ14" hidden="1">#REF!</definedName>
    <definedName name="BEx1IGQ5B697MNDOE06MVSR0H58E" localSheetId="18" hidden="1">#REF!</definedName>
    <definedName name="BEx1IGQ5B697MNDOE06MVSR0H58E" hidden="1">#REF!</definedName>
    <definedName name="BEx1IKRPW8MLB9Y485M1TL2IT9SH" localSheetId="18" hidden="1">#REF!</definedName>
    <definedName name="BEx1IKRPW8MLB9Y485M1TL2IT9SH" hidden="1">#REF!</definedName>
    <definedName name="BEx1J0CSSHDJGBJUHVOEMCF2P4DL" localSheetId="18" hidden="1">#REF!</definedName>
    <definedName name="BEx1J0CSSHDJGBJUHVOEMCF2P4DL" hidden="1">#REF!</definedName>
    <definedName name="BEx1J61RRF9LJ3V3R5OY3WJ6VBWR" localSheetId="18" hidden="1">#REF!</definedName>
    <definedName name="BEx1J61RRF9LJ3V3R5OY3WJ6VBWR" hidden="1">#REF!</definedName>
    <definedName name="BEx1J7E8VCGLPYU82QXVUG5N3ZAI" localSheetId="18" hidden="1">#REF!</definedName>
    <definedName name="BEx1J7E8VCGLPYU82QXVUG5N3ZAI" hidden="1">#REF!</definedName>
    <definedName name="BEx1JGE2YQWH8S25USOY08XVGO0D" localSheetId="18" hidden="1">#REF!</definedName>
    <definedName name="BEx1JGE2YQWH8S25USOY08XVGO0D" hidden="1">#REF!</definedName>
    <definedName name="BEx1JJJC9T1W7HY4V7HP1S1W4JO1" localSheetId="18" hidden="1">#REF!</definedName>
    <definedName name="BEx1JJJC9T1W7HY4V7HP1S1W4JO1" hidden="1">#REF!</definedName>
    <definedName name="BEx1JKKZSJ7DI4PTFVI9VVFMB1X2" localSheetId="18" hidden="1">#REF!</definedName>
    <definedName name="BEx1JKKZSJ7DI4PTFVI9VVFMB1X2" hidden="1">#REF!</definedName>
    <definedName name="BEx1JUBQFRVMASSFK4B3V0AD7YP9" localSheetId="18" hidden="1">#REF!</definedName>
    <definedName name="BEx1JUBQFRVMASSFK4B3V0AD7YP9" hidden="1">#REF!</definedName>
    <definedName name="BEx1JVTNDJQ0189VAB5O88Z9N2B1" localSheetId="18" hidden="1">#REF!</definedName>
    <definedName name="BEx1JVTNDJQ0189VAB5O88Z9N2B1" hidden="1">#REF!</definedName>
    <definedName name="BEx1JXBM5W4YRWNQ0P95QQS6JWD6" localSheetId="18" hidden="1">#REF!</definedName>
    <definedName name="BEx1JXBM5W4YRWNQ0P95QQS6JWD6" hidden="1">#REF!</definedName>
    <definedName name="BEx1K4D3BL8221FE5HGCB9VDX83Q" localSheetId="18" hidden="1">'[38]10.08.5 - 2008 Capital - TDBU'!#REF!</definedName>
    <definedName name="BEx1K4D3BL8221FE5HGCB9VDX83Q" hidden="1">'[38]10.08.5 - 2008 Capital - TDBU'!#REF!</definedName>
    <definedName name="BEx1K95QRKBCQOHKAK00IAOF748I" localSheetId="18" hidden="1">#REF!</definedName>
    <definedName name="BEx1K95QRKBCQOHKAK00IAOF748I" hidden="1">#REF!</definedName>
    <definedName name="BEx1KGCOC0TV99C9CNDK7IZRHVGO" localSheetId="18" hidden="1">#REF!</definedName>
    <definedName name="BEx1KGCOC0TV99C9CNDK7IZRHVGO" hidden="1">#REF!</definedName>
    <definedName name="BEx1KGY9QEHZ9QSARMQUTQKRK4UX" localSheetId="18" hidden="1">#REF!</definedName>
    <definedName name="BEx1KGY9QEHZ9QSARMQUTQKRK4UX" hidden="1">#REF!</definedName>
    <definedName name="BEx1KKP1ELIF2UII2FWVGL7M1X7J" localSheetId="18" hidden="1">#REF!</definedName>
    <definedName name="BEx1KKP1ELIF2UII2FWVGL7M1X7J" hidden="1">#REF!</definedName>
    <definedName name="BEx1KUVWMB0QCWA3RBE4CADFVRIS" localSheetId="18" hidden="1">#REF!</definedName>
    <definedName name="BEx1KUVWMB0QCWA3RBE4CADFVRIS" hidden="1">#REF!</definedName>
    <definedName name="BEx1L2OG1SDFK2TPXELJ77YP4NI2" localSheetId="18" hidden="1">#REF!</definedName>
    <definedName name="BEx1L2OG1SDFK2TPXELJ77YP4NI2" hidden="1">#REF!</definedName>
    <definedName name="BEx1L6Q60MWRDJB4L20LK0XPA0Z2" localSheetId="18" hidden="1">#REF!</definedName>
    <definedName name="BEx1L6Q60MWRDJB4L20LK0XPA0Z2" hidden="1">#REF!</definedName>
    <definedName name="BEx1LAX8UE95OMEMCKW7PJJO7FX5" localSheetId="18" hidden="1">#REF!</definedName>
    <definedName name="BEx1LAX8UE95OMEMCKW7PJJO7FX5" hidden="1">#REF!</definedName>
    <definedName name="BEx1LD63FP2Z4BR9TKSHOZW9KKZ5" localSheetId="18" hidden="1">#REF!</definedName>
    <definedName name="BEx1LD63FP2Z4BR9TKSHOZW9KKZ5" hidden="1">#REF!</definedName>
    <definedName name="BEx1LDMB9RW982DUILM2WPT5VWQ3" localSheetId="18" hidden="1">#REF!</definedName>
    <definedName name="BEx1LDMB9RW982DUILM2WPT5VWQ3" hidden="1">#REF!</definedName>
    <definedName name="BEx1LR3VGF6TOZ4ZPIXZ96JKRKKD" localSheetId="18" hidden="1">#REF!</definedName>
    <definedName name="BEx1LR3VGF6TOZ4ZPIXZ96JKRKKD" hidden="1">#REF!</definedName>
    <definedName name="BEx1LRPGDQCOEMW8YT80J1XCDCIV" localSheetId="18" hidden="1">#REF!</definedName>
    <definedName name="BEx1LRPGDQCOEMW8YT80J1XCDCIV" hidden="1">#REF!</definedName>
    <definedName name="BEx1LRUSJW4JG54X07QWD9R27WV9" localSheetId="18" hidden="1">#REF!</definedName>
    <definedName name="BEx1LRUSJW4JG54X07QWD9R27WV9" hidden="1">#REF!</definedName>
    <definedName name="BEx1LU92C01NBTGCF0WADTO32CU2" localSheetId="18" hidden="1">#REF!</definedName>
    <definedName name="BEx1LU92C01NBTGCF0WADTO32CU2" hidden="1">#REF!</definedName>
    <definedName name="BEx1M1WBK5T0LP1AK2JYV6W87ID6" localSheetId="18" hidden="1">#REF!</definedName>
    <definedName name="BEx1M1WBK5T0LP1AK2JYV6W87ID6" hidden="1">#REF!</definedName>
    <definedName name="BEx1M51HHDYGIT8PON7U8ICL2S95" localSheetId="18" hidden="1">#REF!</definedName>
    <definedName name="BEx1M51HHDYGIT8PON7U8ICL2S95" hidden="1">#REF!</definedName>
    <definedName name="BEx1M68NRL0QD9UQV1RA9L68505H" localSheetId="18" hidden="1">#REF!</definedName>
    <definedName name="BEx1M68NRL0QD9UQV1RA9L68505H" hidden="1">#REF!</definedName>
    <definedName name="BEx1MQ0S8ZPM3QRPBJFVO8KGKJO2" localSheetId="18" hidden="1">#REF!</definedName>
    <definedName name="BEx1MQ0S8ZPM3QRPBJFVO8KGKJO2" hidden="1">#REF!</definedName>
    <definedName name="BEx1MTRKKVCHOZ0YGID6HZ49LJTO" localSheetId="18" hidden="1">#REF!</definedName>
    <definedName name="BEx1MTRKKVCHOZ0YGID6HZ49LJTO" hidden="1">#REF!</definedName>
    <definedName name="BEx1N3CUJ3UX61X38ZAJVPEN4KMC" localSheetId="18" hidden="1">#REF!</definedName>
    <definedName name="BEx1N3CUJ3UX61X38ZAJVPEN4KMC" hidden="1">#REF!</definedName>
    <definedName name="BEx1NM34KQTO1LDNSAFD1L82UZFG" localSheetId="18" hidden="1">#REF!</definedName>
    <definedName name="BEx1NM34KQTO1LDNSAFD1L82UZFG" hidden="1">#REF!</definedName>
    <definedName name="BEx1NNQJ0R56EJAAW1MXNECZ55XH" localSheetId="18" hidden="1">'[38]10.08.5 - 2008 Capital - TDBU'!#REF!</definedName>
    <definedName name="BEx1NNQJ0R56EJAAW1MXNECZ55XH" hidden="1">'[38]10.08.5 - 2008 Capital - TDBU'!#REF!</definedName>
    <definedName name="BEx1NO6TXZVOGCUWCCRTXRXWW0XL" localSheetId="18" hidden="1">#REF!</definedName>
    <definedName name="BEx1NO6TXZVOGCUWCCRTXRXWW0XL" hidden="1">#REF!</definedName>
    <definedName name="BEx1NS8EU5P9FQV3S0WRTXI5L361" localSheetId="18" hidden="1">#REF!</definedName>
    <definedName name="BEx1NS8EU5P9FQV3S0WRTXI5L361" hidden="1">#REF!</definedName>
    <definedName name="BEx1NUBX5VUYZFKQH69FN6BTLWCR" localSheetId="18" hidden="1">#REF!</definedName>
    <definedName name="BEx1NUBX5VUYZFKQH69FN6BTLWCR" hidden="1">#REF!</definedName>
    <definedName name="BEx1NZ4K1L8UON80Y2A4RASKWGNP" localSheetId="18" hidden="1">#REF!</definedName>
    <definedName name="BEx1NZ4K1L8UON80Y2A4RASKWGNP" hidden="1">#REF!</definedName>
    <definedName name="BEx1O24FHGT1KV1PHK1VQ1OUH4VP" localSheetId="18" hidden="1">#REF!</definedName>
    <definedName name="BEx1O24FHGT1KV1PHK1VQ1OUH4VP" hidden="1">#REF!</definedName>
    <definedName name="BEx1OFB62PDZZNV8TCVH2GJNNOSC" localSheetId="18" hidden="1">#REF!</definedName>
    <definedName name="BEx1OFB62PDZZNV8TCVH2GJNNOSC" hidden="1">#REF!</definedName>
    <definedName name="BEx1OLAZ915OGYWP0QP1QQWDLCRX" localSheetId="18" hidden="1">#REF!</definedName>
    <definedName name="BEx1OLAZ915OGYWP0QP1QQWDLCRX" hidden="1">#REF!</definedName>
    <definedName name="BEx1OO5ER042IS6IC4TLDI75JNVH" localSheetId="18" hidden="1">#REF!</definedName>
    <definedName name="BEx1OO5ER042IS6IC4TLDI75JNVH" hidden="1">#REF!</definedName>
    <definedName name="BEx1OTE544O0H6QOAIX6QZKHCDFW" localSheetId="18" hidden="1">#REF!</definedName>
    <definedName name="BEx1OTE544O0H6QOAIX6QZKHCDFW" hidden="1">#REF!</definedName>
    <definedName name="BEx1OTE54CBSUT8FWKRALEDCUWN4" localSheetId="18" hidden="1">#REF!</definedName>
    <definedName name="BEx1OTE54CBSUT8FWKRALEDCUWN4" hidden="1">#REF!</definedName>
    <definedName name="BEx1OVSMPADTX95QUOX34KZQ8EDY" localSheetId="18" hidden="1">#REF!</definedName>
    <definedName name="BEx1OVSMPADTX95QUOX34KZQ8EDY" hidden="1">#REF!</definedName>
    <definedName name="BEx1OX544IO9FQJI7YYQGZCEHB3O" localSheetId="18" hidden="1">#REF!</definedName>
    <definedName name="BEx1OX544IO9FQJI7YYQGZCEHB3O" hidden="1">#REF!</definedName>
    <definedName name="BEx1OY6SVEUT2EQ26P7EKEND342G" localSheetId="18" hidden="1">#REF!</definedName>
    <definedName name="BEx1OY6SVEUT2EQ26P7EKEND342G" hidden="1">#REF!</definedName>
    <definedName name="BEx1OYN1LPIPI12O9G6F7QAOS9T4" localSheetId="18" hidden="1">#REF!</definedName>
    <definedName name="BEx1OYN1LPIPI12O9G6F7QAOS9T4" hidden="1">#REF!</definedName>
    <definedName name="BEx1P1HHKJA799O3YZXQAX6KFH58" localSheetId="18" hidden="1">#REF!</definedName>
    <definedName name="BEx1P1HHKJA799O3YZXQAX6KFH58" hidden="1">#REF!</definedName>
    <definedName name="BEx1P34W467WGPOXPK292QFJIPHJ" localSheetId="18" hidden="1">#REF!</definedName>
    <definedName name="BEx1P34W467WGPOXPK292QFJIPHJ" hidden="1">#REF!</definedName>
    <definedName name="BEx1P58EB7DAA5Y346WUQVQR9QEO" localSheetId="18" hidden="1">#REF!</definedName>
    <definedName name="BEx1P58EB7DAA5Y346WUQVQR9QEO" hidden="1">#REF!</definedName>
    <definedName name="BEx1P7S1J4TKGVJ43C2Q2R3M9WRB" localSheetId="18" hidden="1">#REF!</definedName>
    <definedName name="BEx1P7S1J4TKGVJ43C2Q2R3M9WRB" hidden="1">#REF!</definedName>
    <definedName name="BEx1PA11BLPVZM8RC5BL46WX8YB5" localSheetId="18" hidden="1">#REF!</definedName>
    <definedName name="BEx1PA11BLPVZM8RC5BL46WX8YB5" hidden="1">#REF!</definedName>
    <definedName name="BEx1PBZ4BEFIPGMQXT9T8S4PZ2IM" localSheetId="18" hidden="1">#REF!</definedName>
    <definedName name="BEx1PBZ4BEFIPGMQXT9T8S4PZ2IM" hidden="1">#REF!</definedName>
    <definedName name="BEx1PKINWPH6BLUM5BTUM1OMO78L" localSheetId="18" hidden="1">#REF!</definedName>
    <definedName name="BEx1PKINWPH6BLUM5BTUM1OMO78L" hidden="1">#REF!</definedName>
    <definedName name="BEx1PLF2CFSXBZPVI6CJ534EIJDN" localSheetId="18" hidden="1">#REF!</definedName>
    <definedName name="BEx1PLF2CFSXBZPVI6CJ534EIJDN" hidden="1">#REF!</definedName>
    <definedName name="BEx1PMWZB2DO6EM9BKLUICZJ65HD" localSheetId="18" hidden="1">#REF!</definedName>
    <definedName name="BEx1PMWZB2DO6EM9BKLUICZJ65HD" hidden="1">#REF!</definedName>
    <definedName name="BEx1PUK290DX9LHEN2RS5E5L92YR" localSheetId="18" hidden="1">#REF!</definedName>
    <definedName name="BEx1PUK290DX9LHEN2RS5E5L92YR" hidden="1">#REF!</definedName>
    <definedName name="BEx1PWNKPN825TMXC0L3V3FWMXS4" localSheetId="18" hidden="1">'[38]10.08.2 - 2008 Expense'!#REF!</definedName>
    <definedName name="BEx1PWNKPN825TMXC0L3V3FWMXS4" hidden="1">'[38]10.08.2 - 2008 Expense'!#REF!</definedName>
    <definedName name="BEx1Q21TG5PWZ4V504UC7VGQ9FEI" localSheetId="18" hidden="1">#REF!</definedName>
    <definedName name="BEx1Q21TG5PWZ4V504UC7VGQ9FEI" hidden="1">#REF!</definedName>
    <definedName name="BEx1QA54J2A4I7IBQR19BTY28ZMR" localSheetId="18" hidden="1">#REF!</definedName>
    <definedName name="BEx1QA54J2A4I7IBQR19BTY28ZMR" hidden="1">#REF!</definedName>
    <definedName name="BEx1QMKTAIQ9VGEWQ95YM98EUX0H" localSheetId="18" hidden="1">#REF!</definedName>
    <definedName name="BEx1QMKTAIQ9VGEWQ95YM98EUX0H" hidden="1">#REF!</definedName>
    <definedName name="BEx1QMQAHG3KQUK59DVM68SWKZIZ" localSheetId="18" hidden="1">#REF!</definedName>
    <definedName name="BEx1QMQAHG3KQUK59DVM68SWKZIZ" hidden="1">#REF!</definedName>
    <definedName name="BEx1R9YFKJCMSEST8OVCAO5E47FO" localSheetId="18" hidden="1">#REF!</definedName>
    <definedName name="BEx1R9YFKJCMSEST8OVCAO5E47FO" hidden="1">#REF!</definedName>
    <definedName name="BEx1RBGC06B3T52OIC0EQ1KGVP1I" localSheetId="18" hidden="1">#REF!</definedName>
    <definedName name="BEx1RBGC06B3T52OIC0EQ1KGVP1I" hidden="1">#REF!</definedName>
    <definedName name="BEx1RG3NJLA83JCT26IM1NH7FHA3" localSheetId="18" hidden="1">#REF!</definedName>
    <definedName name="BEx1RG3NJLA83JCT26IM1NH7FHA3" hidden="1">#REF!</definedName>
    <definedName name="BEx1RPJGA9DKDGRAYU2BHE6FRJ0N" localSheetId="18" hidden="1">#REF!</definedName>
    <definedName name="BEx1RPJGA9DKDGRAYU2BHE6FRJ0N" hidden="1">#REF!</definedName>
    <definedName name="BEx1RRC7X4NI1CU4EO5XYE2GVARJ" localSheetId="18" hidden="1">#REF!</definedName>
    <definedName name="BEx1RRC7X4NI1CU4EO5XYE2GVARJ" hidden="1">#REF!</definedName>
    <definedName name="BEx1RZA1NCGT832L7EMR7GMF588W" localSheetId="18" hidden="1">#REF!</definedName>
    <definedName name="BEx1RZA1NCGT832L7EMR7GMF588W" hidden="1">#REF!</definedName>
    <definedName name="BEx1S0XGIPUSZQUCSGWSK10GKW7Y" localSheetId="18" hidden="1">#REF!</definedName>
    <definedName name="BEx1S0XGIPUSZQUCSGWSK10GKW7Y" hidden="1">#REF!</definedName>
    <definedName name="BEx1S5VFNKIXHTTCWSV60UC50EZ8" localSheetId="18" hidden="1">#REF!</definedName>
    <definedName name="BEx1S5VFNKIXHTTCWSV60UC50EZ8" hidden="1">#REF!</definedName>
    <definedName name="BEx1SFGNVAFMGBWWJ1P5SP00N381" localSheetId="18" hidden="1">#REF!</definedName>
    <definedName name="BEx1SFGNVAFMGBWWJ1P5SP00N381" hidden="1">#REF!</definedName>
    <definedName name="BEx1SFGP1BMG8LP140SHD1AEEPXP" localSheetId="18" hidden="1">'[38]10.08.3 - 2008 Expense - TDBU'!#REF!</definedName>
    <definedName name="BEx1SFGP1BMG8LP140SHD1AEEPXP" hidden="1">'[38]10.08.3 - 2008 Expense - TDBU'!#REF!</definedName>
    <definedName name="BEx1SK3U02H0RGKEYXW7ZMCEOF3V" localSheetId="18" hidden="1">#REF!</definedName>
    <definedName name="BEx1SK3U02H0RGKEYXW7ZMCEOF3V" hidden="1">#REF!</definedName>
    <definedName name="BEx1SO5L68CL3H1IC2HQ6TPY8U6F" localSheetId="18" hidden="1">#REF!</definedName>
    <definedName name="BEx1SO5L68CL3H1IC2HQ6TPY8U6F" hidden="1">#REF!</definedName>
    <definedName name="BEx1SSNEZINBJT29QVS62VS1THT4" localSheetId="18" hidden="1">#REF!</definedName>
    <definedName name="BEx1SSNEZINBJT29QVS62VS1THT4" hidden="1">#REF!</definedName>
    <definedName name="BEx1SVNCHNANBJIDIQVB8AFK4HAN" localSheetId="18" hidden="1">#REF!</definedName>
    <definedName name="BEx1SVNCHNANBJIDIQVB8AFK4HAN" hidden="1">#REF!</definedName>
    <definedName name="BEx1TE2YGKCOGDSQUWA9TLZW5GV4" localSheetId="18" hidden="1">#REF!</definedName>
    <definedName name="BEx1TE2YGKCOGDSQUWA9TLZW5GV4" hidden="1">#REF!</definedName>
    <definedName name="BEx1TJ0WLS9O7KNSGIPWTYHDYI1D" localSheetId="18" hidden="1">#REF!</definedName>
    <definedName name="BEx1TJ0WLS9O7KNSGIPWTYHDYI1D" hidden="1">#REF!</definedName>
    <definedName name="BEx1TLF98B75D1P3EJQ1GRYKUU6P" localSheetId="18" hidden="1">#REF!</definedName>
    <definedName name="BEx1TLF98B75D1P3EJQ1GRYKUU6P" hidden="1">#REF!</definedName>
    <definedName name="BEx1TYRAHXVPGDVF5KTTB3900F58" localSheetId="18" hidden="1">'[38]10.08.4 -2008 Capital'!#REF!</definedName>
    <definedName name="BEx1TYRAHXVPGDVF5KTTB3900F58" hidden="1">'[38]10.08.4 -2008 Capital'!#REF!</definedName>
    <definedName name="BEx1U15M7LVVFZENH830B2BGWC04" localSheetId="18" hidden="1">#REF!</definedName>
    <definedName name="BEx1U15M7LVVFZENH830B2BGWC04" hidden="1">#REF!</definedName>
    <definedName name="BEx1U5NGVTXGL4CIPVT5O034KGGR" localSheetId="18" hidden="1">'[38]10.08.3 - 2008 Expense - TDBU'!#REF!</definedName>
    <definedName name="BEx1U5NGVTXGL4CIPVT5O034KGGR" hidden="1">'[38]10.08.3 - 2008 Expense - TDBU'!#REF!</definedName>
    <definedName name="BEx1U7WFO8OZKB1EBF4H386JW91L" localSheetId="18" hidden="1">#REF!</definedName>
    <definedName name="BEx1U7WFO8OZKB1EBF4H386JW91L" hidden="1">#REF!</definedName>
    <definedName name="BEx1U87938YR9N6HYI24KVBKLOS3" localSheetId="18" hidden="1">#REF!</definedName>
    <definedName name="BEx1U87938YR9N6HYI24KVBKLOS3" hidden="1">#REF!</definedName>
    <definedName name="BEx1UESH4KDWHYESQU2IE55RS3LI" localSheetId="18" hidden="1">#REF!</definedName>
    <definedName name="BEx1UESH4KDWHYESQU2IE55RS3LI" hidden="1">#REF!</definedName>
    <definedName name="BEx1UFZM4VZBYSPNK43H7Y6HNB2B" localSheetId="18" hidden="1">#REF!</definedName>
    <definedName name="BEx1UFZM4VZBYSPNK43H7Y6HNB2B" hidden="1">#REF!</definedName>
    <definedName name="BEx1UI8N9KTCPSOJ7RDW0T8UEBNP" localSheetId="18" hidden="1">#REF!</definedName>
    <definedName name="BEx1UI8N9KTCPSOJ7RDW0T8UEBNP" hidden="1">#REF!</definedName>
    <definedName name="BEx1UML0HHJFHA5TBOYQ24I3RV1W" localSheetId="18" hidden="1">#REF!</definedName>
    <definedName name="BEx1UML0HHJFHA5TBOYQ24I3RV1W" hidden="1">#REF!</definedName>
    <definedName name="BEx1UUDIQPZ23XQ79GUL0RAWRSCK" localSheetId="18" hidden="1">#REF!</definedName>
    <definedName name="BEx1UUDIQPZ23XQ79GUL0RAWRSCK" hidden="1">#REF!</definedName>
    <definedName name="BEx1UUTSK2C11SHV8AJXLYCJP9N4" localSheetId="18" hidden="1">#REF!</definedName>
    <definedName name="BEx1UUTSK2C11SHV8AJXLYCJP9N4" hidden="1">#REF!</definedName>
    <definedName name="BEx1V67SEV778NVW68J8W5SND1J7" localSheetId="18" hidden="1">#REF!</definedName>
    <definedName name="BEx1V67SEV778NVW68J8W5SND1J7" hidden="1">#REF!</definedName>
    <definedName name="BEx1VAK6RBDZVE57N471WHPORUOE" localSheetId="18" hidden="1">#REF!</definedName>
    <definedName name="BEx1VAK6RBDZVE57N471WHPORUOE" hidden="1">#REF!</definedName>
    <definedName name="BEx1VIY9SQLRESD11CC4PHYT0XSG" localSheetId="18" hidden="1">#REF!</definedName>
    <definedName name="BEx1VIY9SQLRESD11CC4PHYT0XSG" hidden="1">#REF!</definedName>
    <definedName name="BEx1WC67EH10SC38QWX3WEA5KH3A" localSheetId="18" hidden="1">#REF!</definedName>
    <definedName name="BEx1WC67EH10SC38QWX3WEA5KH3A" hidden="1">#REF!</definedName>
    <definedName name="BEx1WGYTKZZIPM1577W5FEYKFH3V" localSheetId="18" hidden="1">#REF!</definedName>
    <definedName name="BEx1WGYTKZZIPM1577W5FEYKFH3V" hidden="1">#REF!</definedName>
    <definedName name="BEx1WHPURIV3D3PTJJ359H1OP7ZV" localSheetId="18" hidden="1">#REF!</definedName>
    <definedName name="BEx1WHPURIV3D3PTJJ359H1OP7ZV" hidden="1">#REF!</definedName>
    <definedName name="BEx1WLWY2CR1WRD694JJSWSDFAIR" localSheetId="18" hidden="1">#REF!</definedName>
    <definedName name="BEx1WLWY2CR1WRD694JJSWSDFAIR" hidden="1">#REF!</definedName>
    <definedName name="BEx1WMD1LWPWRIK6GGAJRJAHJM8I" localSheetId="18" hidden="1">#REF!</definedName>
    <definedName name="BEx1WMD1LWPWRIK6GGAJRJAHJM8I" hidden="1">#REF!</definedName>
    <definedName name="BEx1WR0D41MR174LBF3P9E3K0J51" localSheetId="18" hidden="1">#REF!</definedName>
    <definedName name="BEx1WR0D41MR174LBF3P9E3K0J51" hidden="1">#REF!</definedName>
    <definedName name="BEx1WUB1FAS5PHU33TJ60SUHR618" localSheetId="18" hidden="1">#REF!</definedName>
    <definedName name="BEx1WUB1FAS5PHU33TJ60SUHR618" hidden="1">#REF!</definedName>
    <definedName name="BEx1WX04G0INSPPG9NTNR3DYR6PZ" localSheetId="18" hidden="1">#REF!</definedName>
    <definedName name="BEx1WX04G0INSPPG9NTNR3DYR6PZ" hidden="1">#REF!</definedName>
    <definedName name="BEx1X1SS6VBZVRNQ2BCV14SDSN2T" localSheetId="18" hidden="1">#REF!</definedName>
    <definedName name="BEx1X1SS6VBZVRNQ2BCV14SDSN2T" hidden="1">#REF!</definedName>
    <definedName name="BEx1X3LHU9DPG01VWX2IF65TRATF" localSheetId="18" hidden="1">#REF!</definedName>
    <definedName name="BEx1X3LHU9DPG01VWX2IF65TRATF" hidden="1">#REF!</definedName>
    <definedName name="BEx1XK8AAMO0AH0Z1OUKW30CA7EQ" localSheetId="18" hidden="1">#REF!</definedName>
    <definedName name="BEx1XK8AAMO0AH0Z1OUKW30CA7EQ" hidden="1">#REF!</definedName>
    <definedName name="BEx1XL4MZ7C80495GHQRWOBS16PQ" localSheetId="18" hidden="1">#REF!</definedName>
    <definedName name="BEx1XL4MZ7C80495GHQRWOBS16PQ" hidden="1">#REF!</definedName>
    <definedName name="BEx1Y2IGS2K95E1M51PEF9KJZ0KB" localSheetId="18" hidden="1">#REF!</definedName>
    <definedName name="BEx1Y2IGS2K95E1M51PEF9KJZ0KB" hidden="1">#REF!</definedName>
    <definedName name="BEx1Y3PKK83X2FN9SAALFHOWKMRQ" localSheetId="18" hidden="1">#REF!</definedName>
    <definedName name="BEx1Y3PKK83X2FN9SAALFHOWKMRQ" hidden="1">#REF!</definedName>
    <definedName name="BEx1Y40E3PP1FR4Z1T8TYMERO4NV" localSheetId="18" hidden="1">#REF!</definedName>
    <definedName name="BEx1Y40E3PP1FR4Z1T8TYMERO4NV" hidden="1">#REF!</definedName>
    <definedName name="BEx1YESSUDLAERX6LBB8V56M8SLC" localSheetId="18" hidden="1">#REF!</definedName>
    <definedName name="BEx1YESSUDLAERX6LBB8V56M8SLC" hidden="1">#REF!</definedName>
    <definedName name="BEx1YL3DJ7Y4AZ01ERCOGW0FJ26T" localSheetId="18" hidden="1">#REF!</definedName>
    <definedName name="BEx1YL3DJ7Y4AZ01ERCOGW0FJ26T" hidden="1">#REF!</definedName>
    <definedName name="BEx1Z2RYHSVD1H37817SN93VMURZ" localSheetId="18" hidden="1">#REF!</definedName>
    <definedName name="BEx1Z2RYHSVD1H37817SN93VMURZ" hidden="1">#REF!</definedName>
    <definedName name="BEx3AMAKWI6458B67VKZO56MCNJW" localSheetId="18" hidden="1">#REF!</definedName>
    <definedName name="BEx3AMAKWI6458B67VKZO56MCNJW" hidden="1">#REF!</definedName>
    <definedName name="BEx3AOOVM42G82TNF53W0EKXLUSI" localSheetId="18" hidden="1">#REF!</definedName>
    <definedName name="BEx3AOOVM42G82TNF53W0EKXLUSI" hidden="1">#REF!</definedName>
    <definedName name="BEx3AZH9W4SUFCAHNDOQ728R9V4L" localSheetId="18" hidden="1">#REF!</definedName>
    <definedName name="BEx3AZH9W4SUFCAHNDOQ728R9V4L" hidden="1">#REF!</definedName>
    <definedName name="BEx3B3OD51ISAN2LLIBMULN0U4ZC" localSheetId="18" hidden="1">#REF!</definedName>
    <definedName name="BEx3B3OD51ISAN2LLIBMULN0U4ZC" hidden="1">#REF!</definedName>
    <definedName name="BEx3BAKI5N8MFGVWZWCRJQZ879OO" localSheetId="18" hidden="1">#REF!</definedName>
    <definedName name="BEx3BAKI5N8MFGVWZWCRJQZ879OO" hidden="1">#REF!</definedName>
    <definedName name="BEx3BG9I89VA2OLYT4PV61JDXU69" localSheetId="18" hidden="1">#REF!</definedName>
    <definedName name="BEx3BG9I89VA2OLYT4PV61JDXU69" hidden="1">#REF!</definedName>
    <definedName name="BEx3BG9J3N0QW0HQLPDKHG4LNUP8" localSheetId="18" hidden="1">#REF!</definedName>
    <definedName name="BEx3BG9J3N0QW0HQLPDKHG4LNUP8" hidden="1">#REF!</definedName>
    <definedName name="BEx3BNR9ES4KY7Q1DK83KC5NDGL8" localSheetId="18" hidden="1">#REF!</definedName>
    <definedName name="BEx3BNR9ES4KY7Q1DK83KC5NDGL8" hidden="1">#REF!</definedName>
    <definedName name="BEx3BQR5VZXNQ4H949ORM8ESU3B3" localSheetId="18" hidden="1">#REF!</definedName>
    <definedName name="BEx3BQR5VZXNQ4H949ORM8ESU3B3" hidden="1">#REF!</definedName>
    <definedName name="BEx3BTLL3ASJN134DLEQTQM70VZM" localSheetId="18" hidden="1">#REF!</definedName>
    <definedName name="BEx3BTLL3ASJN134DLEQTQM70VZM" hidden="1">#REF!</definedName>
    <definedName name="BEx3BW5CTV0DJU5AQS3ZQFK2VLF3" localSheetId="18" hidden="1">#REF!</definedName>
    <definedName name="BEx3BW5CTV0DJU5AQS3ZQFK2VLF3" hidden="1">#REF!</definedName>
    <definedName name="BEx3BWAOSJWUXB8I63LLLOB0IJP1" localSheetId="18" hidden="1">#REF!</definedName>
    <definedName name="BEx3BWAOSJWUXB8I63LLLOB0IJP1" hidden="1">#REF!</definedName>
    <definedName name="BEx3BYP0FG369M7G3JEFLMMXAKTS" localSheetId="18" hidden="1">#REF!</definedName>
    <definedName name="BEx3BYP0FG369M7G3JEFLMMXAKTS" hidden="1">#REF!</definedName>
    <definedName name="BEx3C2QR0WUD19QSVO8EMIPNQJKH" localSheetId="18" hidden="1">#REF!</definedName>
    <definedName name="BEx3C2QR0WUD19QSVO8EMIPNQJKH" hidden="1">#REF!</definedName>
    <definedName name="BEx3C8AAGO4EJFEL0JJN2VY0HYIB" localSheetId="18" hidden="1">#REF!</definedName>
    <definedName name="BEx3C8AAGO4EJFEL0JJN2VY0HYIB" hidden="1">#REF!</definedName>
    <definedName name="BEx3CCS3VNR1KW2R7DKSQFZ17QW0" localSheetId="18" hidden="1">#REF!</definedName>
    <definedName name="BEx3CCS3VNR1KW2R7DKSQFZ17QW0" hidden="1">#REF!</definedName>
    <definedName name="BEx3CJTRYTU2EE1EL7M6DVFD01KO" localSheetId="18" hidden="1">#REF!</definedName>
    <definedName name="BEx3CJTRYTU2EE1EL7M6DVFD01KO" hidden="1">#REF!</definedName>
    <definedName name="BEx3CKFCCPZZ6ROLAT5C1DZNIC1U" localSheetId="18" hidden="1">#REF!</definedName>
    <definedName name="BEx3CKFCCPZZ6ROLAT5C1DZNIC1U" hidden="1">#REF!</definedName>
    <definedName name="BEx3CN4AESXZTH159TR8B9DJG12Z" localSheetId="18" hidden="1">#REF!</definedName>
    <definedName name="BEx3CN4AESXZTH159TR8B9DJG12Z" hidden="1">#REF!</definedName>
    <definedName name="BEx3CO0SVO4WLH0DO43DCHYDTH1P" localSheetId="18" hidden="1">#REF!</definedName>
    <definedName name="BEx3CO0SVO4WLH0DO43DCHYDTH1P" hidden="1">#REF!</definedName>
    <definedName name="BEx3D9G6QTSPF9UYI4X0XY0VE896" localSheetId="18" hidden="1">#REF!</definedName>
    <definedName name="BEx3D9G6QTSPF9UYI4X0XY0VE896" hidden="1">#REF!</definedName>
    <definedName name="BEx3DCQU9PBRXIMLO62KS5RLH447" localSheetId="18" hidden="1">#REF!</definedName>
    <definedName name="BEx3DCQU9PBRXIMLO62KS5RLH447" hidden="1">#REF!</definedName>
    <definedName name="BEx3E9K8R6R3TVXS3UM0127D8DNP" localSheetId="18" hidden="1">#REF!</definedName>
    <definedName name="BEx3E9K8R6R3TVXS3UM0127D8DNP" hidden="1">#REF!</definedName>
    <definedName name="BEx3EE23XC21IEMZ81C84ZBTBZA8" localSheetId="18" hidden="1">#REF!</definedName>
    <definedName name="BEx3EE23XC21IEMZ81C84ZBTBZA8" hidden="1">#REF!</definedName>
    <definedName name="BEx3EF99FD6QNNCNOKDEE67JHTUJ" localSheetId="18" hidden="1">#REF!</definedName>
    <definedName name="BEx3EF99FD6QNNCNOKDEE67JHTUJ" hidden="1">#REF!</definedName>
    <definedName name="BEx3EHCSERZ2O2OAG8Y95UPG2IY9" localSheetId="18" hidden="1">#REF!</definedName>
    <definedName name="BEx3EHCSERZ2O2OAG8Y95UPG2IY9" hidden="1">#REF!</definedName>
    <definedName name="BEx3EJR3TCJDYS7ZXNDS5N9KTGIK" localSheetId="18" hidden="1">#REF!</definedName>
    <definedName name="BEx3EJR3TCJDYS7ZXNDS5N9KTGIK" hidden="1">#REF!</definedName>
    <definedName name="BEx3ELJTTBS6P05CNISMGOJOA60V" localSheetId="18" hidden="1">#REF!</definedName>
    <definedName name="BEx3ELJTTBS6P05CNISMGOJOA60V" hidden="1">#REF!</definedName>
    <definedName name="BEx3EQSLJBDDJRHNX19PBFCKNY2I" localSheetId="18" hidden="1">#REF!</definedName>
    <definedName name="BEx3EQSLJBDDJRHNX19PBFCKNY2I" hidden="1">#REF!</definedName>
    <definedName name="BEx3EUUAX947Q5N6MY6W0KSNY78Y" localSheetId="18" hidden="1">#REF!</definedName>
    <definedName name="BEx3EUUAX947Q5N6MY6W0KSNY78Y" hidden="1">#REF!</definedName>
    <definedName name="BEx3EYVWCTX3E5LGECYH82ENAGBU" localSheetId="18" hidden="1">#REF!</definedName>
    <definedName name="BEx3EYVWCTX3E5LGECYH82ENAGBU" hidden="1">#REF!</definedName>
    <definedName name="BEx3F0JC8H5K4UPZ6HTO1OZ2OOOA" localSheetId="18" hidden="1">#REF!</definedName>
    <definedName name="BEx3F0JC8H5K4UPZ6HTO1OZ2OOOA" hidden="1">#REF!</definedName>
    <definedName name="BEx3F86EA79UA9R15EEYT5ZAYQGI" localSheetId="18" hidden="1">#REF!</definedName>
    <definedName name="BEx3F86EA79UA9R15EEYT5ZAYQGI" hidden="1">#REF!</definedName>
    <definedName name="BEx3FF2JGKF9FOM69W2I5I0JVUSZ" localSheetId="18" hidden="1">#REF!</definedName>
    <definedName name="BEx3FF2JGKF9FOM69W2I5I0JVUSZ" hidden="1">#REF!</definedName>
    <definedName name="BEx3FHMD1P5XBCH23ZKIFO6ZTCNB" localSheetId="18" hidden="1">#REF!</definedName>
    <definedName name="BEx3FHMD1P5XBCH23ZKIFO6ZTCNB" hidden="1">#REF!</definedName>
    <definedName name="BEx3FI2G3YYIACQHXNXEA15M8ZK5" localSheetId="18" hidden="1">#REF!</definedName>
    <definedName name="BEx3FI2G3YYIACQHXNXEA15M8ZK5" hidden="1">#REF!</definedName>
    <definedName name="BEx3FJ9MHSLDK8W91GO85FX1GX57" localSheetId="18" hidden="1">#REF!</definedName>
    <definedName name="BEx3FJ9MHSLDK8W91GO85FX1GX57" hidden="1">#REF!</definedName>
    <definedName name="BEx3FNM4HIBMXBBXPV7LKCWA3GHW" localSheetId="18" hidden="1">#REF!</definedName>
    <definedName name="BEx3FNM4HIBMXBBXPV7LKCWA3GHW" hidden="1">#REF!</definedName>
    <definedName name="BEx3FR251HFU7A33PU01SJUENL2B" localSheetId="18" hidden="1">#REF!</definedName>
    <definedName name="BEx3FR251HFU7A33PU01SJUENL2B" hidden="1">#REF!</definedName>
    <definedName name="BEx3FRIE1T53ZMO1E61ZGQ9THDOQ" localSheetId="18" hidden="1">'[38]10.08.5 - 2008 Capital - TDBU'!#REF!</definedName>
    <definedName name="BEx3FRIE1T53ZMO1E61ZGQ9THDOQ" hidden="1">'[38]10.08.5 - 2008 Capital - TDBU'!#REF!</definedName>
    <definedName name="BEx3FX7EJL47JSLSWP3EOC265WAE" localSheetId="18" hidden="1">#REF!</definedName>
    <definedName name="BEx3FX7EJL47JSLSWP3EOC265WAE" hidden="1">#REF!</definedName>
    <definedName name="BEx3G201R8NLJ6FIHO2QS0SW9QVV" localSheetId="18" hidden="1">#REF!</definedName>
    <definedName name="BEx3G201R8NLJ6FIHO2QS0SW9QVV" hidden="1">#REF!</definedName>
    <definedName name="BEx3G2LL2II66XY5YCDPG4JE13A3" localSheetId="18" hidden="1">#REF!</definedName>
    <definedName name="BEx3G2LL2II66XY5YCDPG4JE13A3" hidden="1">#REF!</definedName>
    <definedName name="BEx3G2WA0DTYY9D8AGHHOBTPE2B2" localSheetId="18" hidden="1">#REF!</definedName>
    <definedName name="BEx3G2WA0DTYY9D8AGHHOBTPE2B2" hidden="1">#REF!</definedName>
    <definedName name="BEx3G3HT0ZM1BO84RTJMXZ1842C6" localSheetId="18" hidden="1">'[38]10.08.5 - 2008 Capital - TDBU'!#REF!</definedName>
    <definedName name="BEx3G3HT0ZM1BO84RTJMXZ1842C6" hidden="1">'[38]10.08.5 - 2008 Capital - TDBU'!#REF!</definedName>
    <definedName name="BEx3GCXR6IAS0B6WJ03GJVH7CO52" localSheetId="18" hidden="1">#REF!</definedName>
    <definedName name="BEx3GCXR6IAS0B6WJ03GJVH7CO52" hidden="1">#REF!</definedName>
    <definedName name="BEx3GEVV18SEQDI1JGY7EN6D1GT1" localSheetId="18" hidden="1">#REF!</definedName>
    <definedName name="BEx3GEVV18SEQDI1JGY7EN6D1GT1" hidden="1">#REF!</definedName>
    <definedName name="BEx3GKFH64MKQX61S7DYTZ15JCPY" localSheetId="18" hidden="1">#REF!</definedName>
    <definedName name="BEx3GKFH64MKQX61S7DYTZ15JCPY" hidden="1">#REF!</definedName>
    <definedName name="BEx3GMJ1Y6UU02DLRL0QXCEKDA6C" localSheetId="18" hidden="1">#REF!</definedName>
    <definedName name="BEx3GMJ1Y6UU02DLRL0QXCEKDA6C" hidden="1">#REF!</definedName>
    <definedName name="BEx3GN4LY0135CBDIN1TU2UEODGF" localSheetId="18" hidden="1">#REF!</definedName>
    <definedName name="BEx3GN4LY0135CBDIN1TU2UEODGF" hidden="1">#REF!</definedName>
    <definedName name="BEx3GPDH2AH4QKT4OOSN563XUHBD" localSheetId="18" hidden="1">#REF!</definedName>
    <definedName name="BEx3GPDH2AH4QKT4OOSN563XUHBD" hidden="1">#REF!</definedName>
    <definedName name="BEx3GVD97A24S6H24BSXJFP4JCW6" localSheetId="18" hidden="1">#REF!</definedName>
    <definedName name="BEx3GVD97A24S6H24BSXJFP4JCW6" hidden="1">#REF!</definedName>
    <definedName name="BEx3H5UX2GZFZZT657YR76RHW5I6" localSheetId="18" hidden="1">#REF!</definedName>
    <definedName name="BEx3H5UX2GZFZZT657YR76RHW5I6" hidden="1">#REF!</definedName>
    <definedName name="BEx3HMSEFOP6DBM4R97XA6B7NFG6" localSheetId="18" hidden="1">#REF!</definedName>
    <definedName name="BEx3HMSEFOP6DBM4R97XA6B7NFG6" hidden="1">#REF!</definedName>
    <definedName name="BEx3HNZM1GOP9RT8C2AXOMFXIMQ8" localSheetId="18" hidden="1">#REF!</definedName>
    <definedName name="BEx3HNZM1GOP9RT8C2AXOMFXIMQ8" hidden="1">#REF!</definedName>
    <definedName name="BEx3HWJ5SQSD2CVCQNR183X44FR8" localSheetId="18" hidden="1">#REF!</definedName>
    <definedName name="BEx3HWJ5SQSD2CVCQNR183X44FR8" hidden="1">#REF!</definedName>
    <definedName name="BEx3I09YVXO0G4X7KGSA4WGORM35" localSheetId="18" hidden="1">#REF!</definedName>
    <definedName name="BEx3I09YVXO0G4X7KGSA4WGORM35" hidden="1">#REF!</definedName>
    <definedName name="BEx3I7BLM11AXCZ8E4JU8ZIAXPAS" localSheetId="18" hidden="1">#REF!</definedName>
    <definedName name="BEx3I7BLM11AXCZ8E4JU8ZIAXPAS" hidden="1">#REF!</definedName>
    <definedName name="BEx3ICF1GY8HQEBIU9S43PDJ90BX" localSheetId="18" hidden="1">#REF!</definedName>
    <definedName name="BEx3ICF1GY8HQEBIU9S43PDJ90BX" hidden="1">#REF!</definedName>
    <definedName name="BEx3IYAH2DEBFWO8F94H4MXE3RLY" localSheetId="18" hidden="1">#REF!</definedName>
    <definedName name="BEx3IYAH2DEBFWO8F94H4MXE3RLY" hidden="1">#REF!</definedName>
    <definedName name="BEx3IZXXSYEW50379N2EAFWO8DZV" localSheetId="18" hidden="1">#REF!</definedName>
    <definedName name="BEx3IZXXSYEW50379N2EAFWO8DZV" hidden="1">#REF!</definedName>
    <definedName name="BEx3J1VZVGTKT4ATPO9O5JCSFTTR" localSheetId="18" hidden="1">#REF!</definedName>
    <definedName name="BEx3J1VZVGTKT4ATPO9O5JCSFTTR" hidden="1">#REF!</definedName>
    <definedName name="BEx3JC2TY7JNAAC3L7QHVPQXLGQ8" localSheetId="18" hidden="1">#REF!</definedName>
    <definedName name="BEx3JC2TY7JNAAC3L7QHVPQXLGQ8" hidden="1">#REF!</definedName>
    <definedName name="BEx3JHMINP1THWDI6C83QR21FBGR" localSheetId="18" hidden="1">#REF!</definedName>
    <definedName name="BEx3JHMINP1THWDI6C83QR21FBGR" hidden="1">#REF!</definedName>
    <definedName name="BEx3JX23SYDIGOGM4Y0CQFBW8ZBV" localSheetId="18" hidden="1">#REF!</definedName>
    <definedName name="BEx3JX23SYDIGOGM4Y0CQFBW8ZBV" hidden="1">#REF!</definedName>
    <definedName name="BEx3JXCXCVBZJGV5VEG9MJEI01AL" localSheetId="18" hidden="1">#REF!</definedName>
    <definedName name="BEx3JXCXCVBZJGV5VEG9MJEI01AL" hidden="1">#REF!</definedName>
    <definedName name="BEx3JY98ZGQOIJAD31AKR12C64LP" localSheetId="18" hidden="1">#REF!</definedName>
    <definedName name="BEx3JY98ZGQOIJAD31AKR12C64LP" hidden="1">#REF!</definedName>
    <definedName name="BEx3JYK2N7X59TPJSKYZ77ENY8SS" localSheetId="18" hidden="1">#REF!</definedName>
    <definedName name="BEx3JYK2N7X59TPJSKYZ77ENY8SS" hidden="1">#REF!</definedName>
    <definedName name="BEx3K4EII7GU1CG0BN7UL15M6J8Z" localSheetId="18" hidden="1">#REF!</definedName>
    <definedName name="BEx3K4EII7GU1CG0BN7UL15M6J8Z" hidden="1">#REF!</definedName>
    <definedName name="BEx3K4ZXQUQ2KYZF74B84SO48XMW" localSheetId="18" hidden="1">#REF!</definedName>
    <definedName name="BEx3K4ZXQUQ2KYZF74B84SO48XMW" hidden="1">#REF!</definedName>
    <definedName name="BEx3K5QZUNWBEQQWDCJDXXFBV4QK" localSheetId="18" hidden="1">#REF!</definedName>
    <definedName name="BEx3K5QZUNWBEQQWDCJDXXFBV4QK" hidden="1">#REF!</definedName>
    <definedName name="BEx3KC6WKRCQX6L4P34ZM7CCJFBT" localSheetId="18" hidden="1">#REF!</definedName>
    <definedName name="BEx3KC6WKRCQX6L4P34ZM7CCJFBT" hidden="1">#REF!</definedName>
    <definedName name="BEx3KEFXUCVNVPH7KSEGAZYX13B5" localSheetId="18" hidden="1">#REF!</definedName>
    <definedName name="BEx3KEFXUCVNVPH7KSEGAZYX13B5" hidden="1">#REF!</definedName>
    <definedName name="BEx3KFXUAF6YXAA47B7Q6X9B3VGB" localSheetId="18" hidden="1">#REF!</definedName>
    <definedName name="BEx3KFXUAF6YXAA47B7Q6X9B3VGB" hidden="1">#REF!</definedName>
    <definedName name="BEx3KIXQYOGMPK4WJJAVBRX4NR28" localSheetId="18" hidden="1">#REF!</definedName>
    <definedName name="BEx3KIXQYOGMPK4WJJAVBRX4NR28" hidden="1">#REF!</definedName>
    <definedName name="BEx3KJOMVOSFZVJUL3GKCNP6DQDS" localSheetId="18" hidden="1">#REF!</definedName>
    <definedName name="BEx3KJOMVOSFZVJUL3GKCNP6DQDS" hidden="1">#REF!</definedName>
    <definedName name="BEx3KP2VRBMORK0QEAZUYCXL3DHJ" localSheetId="18" hidden="1">#REF!</definedName>
    <definedName name="BEx3KP2VRBMORK0QEAZUYCXL3DHJ" hidden="1">#REF!</definedName>
    <definedName name="BEx3L4IN3LI4C26SITKTGAH27CDU" localSheetId="18" hidden="1">#REF!</definedName>
    <definedName name="BEx3L4IN3LI4C26SITKTGAH27CDU" hidden="1">#REF!</definedName>
    <definedName name="BEx3L4YQ0J7ZU0M5QM6YIPCEYC9K" localSheetId="18" hidden="1">#REF!</definedName>
    <definedName name="BEx3L4YQ0J7ZU0M5QM6YIPCEYC9K" hidden="1">#REF!</definedName>
    <definedName name="BEx3L60DJOR7NQN42G7YSAODP1EX" localSheetId="18" hidden="1">#REF!</definedName>
    <definedName name="BEx3L60DJOR7NQN42G7YSAODP1EX" hidden="1">#REF!</definedName>
    <definedName name="BEx3L7D0PI38HWZ7VADU16C9E33D" localSheetId="18" hidden="1">#REF!</definedName>
    <definedName name="BEx3L7D0PI38HWZ7VADU16C9E33D" hidden="1">#REF!</definedName>
    <definedName name="BEx3L7NTB2BHXP26B5F4A3PRTY0Z" localSheetId="18" hidden="1">#REF!</definedName>
    <definedName name="BEx3L7NTB2BHXP26B5F4A3PRTY0Z" hidden="1">#REF!</definedName>
    <definedName name="BEx3LM1PR4Y7KINKMTMKR984GX8Q" localSheetId="18" hidden="1">#REF!</definedName>
    <definedName name="BEx3LM1PR4Y7KINKMTMKR984GX8Q" hidden="1">#REF!</definedName>
    <definedName name="BEx3LPCEZ1C0XEKNCM3YT09JWCUO" localSheetId="18" hidden="1">#REF!</definedName>
    <definedName name="BEx3LPCEZ1C0XEKNCM3YT09JWCUO" hidden="1">#REF!</definedName>
    <definedName name="BEx3LTU80DDHQRJRLVN79J3RC5Z0" localSheetId="18" hidden="1">#REF!</definedName>
    <definedName name="BEx3LTU80DDHQRJRLVN79J3RC5Z0" hidden="1">#REF!</definedName>
    <definedName name="BEx3LUL5EICSTN6KP1M6B7NAHYVO" localSheetId="18" hidden="1">#REF!</definedName>
    <definedName name="BEx3LUL5EICSTN6KP1M6B7NAHYVO" hidden="1">#REF!</definedName>
    <definedName name="BEx3M1MR1K1NQD03H74BFWOK4MWQ" localSheetId="18" hidden="1">#REF!</definedName>
    <definedName name="BEx3M1MR1K1NQD03H74BFWOK4MWQ" hidden="1">#REF!</definedName>
    <definedName name="BEx3M4H77MYUKOOD31H9F80NMVK8" localSheetId="18" hidden="1">#REF!</definedName>
    <definedName name="BEx3M4H77MYUKOOD31H9F80NMVK8" hidden="1">#REF!</definedName>
    <definedName name="BEx3M885DQ9KX2HJ6T6P6HDY9GC4" localSheetId="18" hidden="1">#REF!</definedName>
    <definedName name="BEx3M885DQ9KX2HJ6T6P6HDY9GC4" hidden="1">#REF!</definedName>
    <definedName name="BEx3M9VFX329PZWYC4DMZ6P3W9R2" localSheetId="18" hidden="1">#REF!</definedName>
    <definedName name="BEx3M9VFX329PZWYC4DMZ6P3W9R2" hidden="1">#REF!</definedName>
    <definedName name="BEx3MCQ0L5NQSPA1DGA0QTYSLHNP" localSheetId="18" hidden="1">#REF!</definedName>
    <definedName name="BEx3MCQ0L5NQSPA1DGA0QTYSLHNP" hidden="1">#REF!</definedName>
    <definedName name="BEx3MCQ0VEBV0CZXDS505L38EQ8N" localSheetId="18" hidden="1">#REF!</definedName>
    <definedName name="BEx3MCQ0VEBV0CZXDS505L38EQ8N" hidden="1">#REF!</definedName>
    <definedName name="BEx3ME2HC294KYAUDR73NXYGVDW0" localSheetId="18" hidden="1">#REF!</definedName>
    <definedName name="BEx3ME2HC294KYAUDR73NXYGVDW0" hidden="1">#REF!</definedName>
    <definedName name="BEx3MEYV5LQY0BAL7V3CFAFVOM3T" localSheetId="18" hidden="1">#REF!</definedName>
    <definedName name="BEx3MEYV5LQY0BAL7V3CFAFVOM3T" hidden="1">#REF!</definedName>
    <definedName name="BEx3MREOFWJQEYMCMBL7ZE06NBN6" localSheetId="18" hidden="1">#REF!</definedName>
    <definedName name="BEx3MREOFWJQEYMCMBL7ZE06NBN6" hidden="1">#REF!</definedName>
    <definedName name="BEx3MRPHDEYR919ZKPYTH3O7DQTY" localSheetId="18" hidden="1">#REF!</definedName>
    <definedName name="BEx3MRPHDEYR919ZKPYTH3O7DQTY" hidden="1">#REF!</definedName>
    <definedName name="BEx3NKXF7GYXHBK75UI6MDRUSU0J" localSheetId="18" hidden="1">#REF!</definedName>
    <definedName name="BEx3NKXF7GYXHBK75UI6MDRUSU0J" hidden="1">#REF!</definedName>
    <definedName name="BEx3NLIZ7PHF2XE59ECZ3MD04ZG1" localSheetId="18" hidden="1">#REF!</definedName>
    <definedName name="BEx3NLIZ7PHF2XE59ECZ3MD04ZG1" hidden="1">#REF!</definedName>
    <definedName name="BEx3NMQ4BVC94728AUM7CCX7UHTU" localSheetId="18" hidden="1">#REF!</definedName>
    <definedName name="BEx3NMQ4BVC94728AUM7CCX7UHTU" hidden="1">#REF!</definedName>
    <definedName name="BEx3NNBPZUO6BZU0DLA11SQERG4L" localSheetId="18" hidden="1">#REF!</definedName>
    <definedName name="BEx3NNBPZUO6BZU0DLA11SQERG4L" hidden="1">#REF!</definedName>
    <definedName name="BEx3NR2I4OUFP3Z2QZEDU2PIFIDI" localSheetId="18" hidden="1">#REF!</definedName>
    <definedName name="BEx3NR2I4OUFP3Z2QZEDU2PIFIDI" hidden="1">#REF!</definedName>
    <definedName name="BEx3NVV3RL4UV2EU430NY5LKTPXD" localSheetId="18" hidden="1">#REF!</definedName>
    <definedName name="BEx3NVV3RL4UV2EU430NY5LKTPXD" hidden="1">#REF!</definedName>
    <definedName name="BEx3O1420BO99ELGBDOEK6YUS2AH" localSheetId="18" hidden="1">#REF!</definedName>
    <definedName name="BEx3O1420BO99ELGBDOEK6YUS2AH" hidden="1">#REF!</definedName>
    <definedName name="BEx3O19B8FTTAPVT5DZXQGQXWFR8" localSheetId="18" hidden="1">#REF!</definedName>
    <definedName name="BEx3O19B8FTTAPVT5DZXQGQXWFR8" hidden="1">#REF!</definedName>
    <definedName name="BEx3O208V4211X3WMWUFFIW28Y5U" localSheetId="18" hidden="1">#REF!</definedName>
    <definedName name="BEx3O208V4211X3WMWUFFIW28Y5U" hidden="1">#REF!</definedName>
    <definedName name="BEx3O7JY7N5U41CVEUHYIEK343YH" localSheetId="18" hidden="1">#REF!</definedName>
    <definedName name="BEx3O7JY7N5U41CVEUHYIEK343YH" hidden="1">#REF!</definedName>
    <definedName name="BEx3O85IKWARA6NCJOLRBRJFMEWW" localSheetId="18" hidden="1">[39]Table!#REF!</definedName>
    <definedName name="BEx3O85IKWARA6NCJOLRBRJFMEWW" hidden="1">[39]Table!#REF!</definedName>
    <definedName name="BEx3OFCGQH8N5QT3C8M44CX5CLHX" localSheetId="18" hidden="1">#REF!</definedName>
    <definedName name="BEx3OFCGQH8N5QT3C8M44CX5CLHX" hidden="1">#REF!</definedName>
    <definedName name="BEx3OJZSCGFRW7SVGBFI0X9DNVMM" localSheetId="18" hidden="1">#REF!</definedName>
    <definedName name="BEx3OJZSCGFRW7SVGBFI0X9DNVMM" hidden="1">#REF!</definedName>
    <definedName name="BEx3ORSBUXAF21MKEY90YJV9AY9A" localSheetId="18" hidden="1">#REF!</definedName>
    <definedName name="BEx3ORSBUXAF21MKEY90YJV9AY9A" hidden="1">#REF!</definedName>
    <definedName name="BEx3OV8BH6PYNZT7C246LOAU9SVX" localSheetId="18" hidden="1">#REF!</definedName>
    <definedName name="BEx3OV8BH6PYNZT7C246LOAU9SVX" hidden="1">#REF!</definedName>
    <definedName name="BEx3OXRYJZUEY6E72UJU0PHLMYAR" localSheetId="18" hidden="1">#REF!</definedName>
    <definedName name="BEx3OXRYJZUEY6E72UJU0PHLMYAR" hidden="1">#REF!</definedName>
    <definedName name="BEx3P59TTRSGQY888P5C1O7M2PQT" localSheetId="18" hidden="1">#REF!</definedName>
    <definedName name="BEx3P59TTRSGQY888P5C1O7M2PQT" hidden="1">#REF!</definedName>
    <definedName name="BEx3PDNRRNKD5GOUBUQFXAHIXLD9" localSheetId="18" hidden="1">#REF!</definedName>
    <definedName name="BEx3PDNRRNKD5GOUBUQFXAHIXLD9" hidden="1">#REF!</definedName>
    <definedName name="BEx3PDT8GNPWLLN02IH1XPV90XYK" localSheetId="18" hidden="1">#REF!</definedName>
    <definedName name="BEx3PDT8GNPWLLN02IH1XPV90XYK" hidden="1">#REF!</definedName>
    <definedName name="BEx3PG24EE6BFX4WK0PD7YR4MWXE" localSheetId="18" hidden="1">#REF!</definedName>
    <definedName name="BEx3PG24EE6BFX4WK0PD7YR4MWXE" hidden="1">#REF!</definedName>
    <definedName name="BEx3PKEMDW8KZEP11IL927C5O7I2" localSheetId="18" hidden="1">#REF!</definedName>
    <definedName name="BEx3PKEMDW8KZEP11IL927C5O7I2" hidden="1">#REF!</definedName>
    <definedName name="BEx3PKJZ1Z7L9S6KV8KXVS6B2FX4" localSheetId="18" hidden="1">#REF!</definedName>
    <definedName name="BEx3PKJZ1Z7L9S6KV8KXVS6B2FX4" hidden="1">#REF!</definedName>
    <definedName name="BEx3PMNG53Z5HY138H99QOMTX8W3" localSheetId="18" hidden="1">#REF!</definedName>
    <definedName name="BEx3PMNG53Z5HY138H99QOMTX8W3" hidden="1">#REF!</definedName>
    <definedName name="BEx3PP1RRSFZ8UC0JC9R91W6LNKW" localSheetId="18" hidden="1">#REF!</definedName>
    <definedName name="BEx3PP1RRSFZ8UC0JC9R91W6LNKW" hidden="1">#REF!</definedName>
    <definedName name="BEx3PPCKN624WDXN9HIU6BDOOFL1" localSheetId="18" hidden="1">#REF!</definedName>
    <definedName name="BEx3PPCKN624WDXN9HIU6BDOOFL1" hidden="1">#REF!</definedName>
    <definedName name="BEx3PVXYZC8WB9ZJE7OCKUXZ46EA" localSheetId="18" hidden="1">#REF!</definedName>
    <definedName name="BEx3PVXYZC8WB9ZJE7OCKUXZ46EA" hidden="1">#REF!</definedName>
    <definedName name="BEx3Q0VWPU5EQECK7MQ47TYJ3SWW" localSheetId="18" hidden="1">#REF!</definedName>
    <definedName name="BEx3Q0VWPU5EQECK7MQ47TYJ3SWW" hidden="1">#REF!</definedName>
    <definedName name="BEx3Q7BZ9PUXK2RLIOFSIS9AHU1B" localSheetId="18" hidden="1">#REF!</definedName>
    <definedName name="BEx3Q7BZ9PUXK2RLIOFSIS9AHU1B" hidden="1">#REF!</definedName>
    <definedName name="BEx3Q8J42S9VU6EAN2Y28MR6DF88" localSheetId="18" hidden="1">#REF!</definedName>
    <definedName name="BEx3Q8J42S9VU6EAN2Y28MR6DF88" hidden="1">#REF!</definedName>
    <definedName name="BEx3QEDFOYFY5NBTININ5W4RLD4Q" localSheetId="18" hidden="1">#REF!</definedName>
    <definedName name="BEx3QEDFOYFY5NBTININ5W4RLD4Q" hidden="1">#REF!</definedName>
    <definedName name="BEx3QIKJ3U962US1Q564NZDLU8LD" localSheetId="18" hidden="1">#REF!</definedName>
    <definedName name="BEx3QIKJ3U962US1Q564NZDLU8LD" hidden="1">#REF!</definedName>
    <definedName name="BEx3QLKKMOCYGB7DSNC29XGRU52O" localSheetId="18" hidden="1">#REF!</definedName>
    <definedName name="BEx3QLKKMOCYGB7DSNC29XGRU52O" hidden="1">#REF!</definedName>
    <definedName name="BEx3QR9D45DHW50VQ7Y3Q1AXPOB9" localSheetId="18" hidden="1">#REF!</definedName>
    <definedName name="BEx3QR9D45DHW50VQ7Y3Q1AXPOB9" hidden="1">#REF!</definedName>
    <definedName name="BEx3QSWT2S5KWG6U2V9711IYDQBM" localSheetId="18" hidden="1">#REF!</definedName>
    <definedName name="BEx3QSWT2S5KWG6U2V9711IYDQBM" hidden="1">#REF!</definedName>
    <definedName name="BEx3QU9AM2D9N0887SF1H9427JKU" localSheetId="18" hidden="1">#REF!</definedName>
    <definedName name="BEx3QU9AM2D9N0887SF1H9427JKU" hidden="1">#REF!</definedName>
    <definedName name="BEx3QVGG7Q2X4HZHJAM35A8T3VR7" localSheetId="18" hidden="1">#REF!</definedName>
    <definedName name="BEx3QVGG7Q2X4HZHJAM35A8T3VR7" hidden="1">#REF!</definedName>
    <definedName name="BEx3R0JUB9YN8PHPPQTAMIT1IHWK" localSheetId="18" hidden="1">#REF!</definedName>
    <definedName name="BEx3R0JUB9YN8PHPPQTAMIT1IHWK" hidden="1">#REF!</definedName>
    <definedName name="BEx3R81NFRO7M81VHVKOBFT0QBIL" localSheetId="18" hidden="1">#REF!</definedName>
    <definedName name="BEx3R81NFRO7M81VHVKOBFT0QBIL" hidden="1">#REF!</definedName>
    <definedName name="BEx3R8N7YCUKJFKXRC8VVKDGUCWT" localSheetId="18" hidden="1">#REF!</definedName>
    <definedName name="BEx3R8N7YCUKJFKXRC8VVKDGUCWT" hidden="1">#REF!</definedName>
    <definedName name="BEx3RFJCSRTFFKD3A8DC3F4ZHW92" localSheetId="18" hidden="1">#REF!</definedName>
    <definedName name="BEx3RFJCSRTFFKD3A8DC3F4ZHW92" hidden="1">#REF!</definedName>
    <definedName name="BEx3RHC2ZD5UFS6QD4OPFCNNMWH1" localSheetId="18" hidden="1">#REF!</definedName>
    <definedName name="BEx3RHC2ZD5UFS6QD4OPFCNNMWH1" hidden="1">#REF!</definedName>
    <definedName name="BEx3RHMVYSP3UJFE4JFGYN439AJK" localSheetId="18" hidden="1">#REF!</definedName>
    <definedName name="BEx3RHMVYSP3UJFE4JFGYN439AJK" hidden="1">#REF!</definedName>
    <definedName name="BEx3RKHARL8IJX5B7DY70B7NIRVT" localSheetId="18" hidden="1">#REF!</definedName>
    <definedName name="BEx3RKHARL8IJX5B7DY70B7NIRVT" hidden="1">#REF!</definedName>
    <definedName name="BEx3RQ10QIWBAPHALAA91BUUCM2X" localSheetId="18" hidden="1">#REF!</definedName>
    <definedName name="BEx3RQ10QIWBAPHALAA91BUUCM2X" hidden="1">#REF!</definedName>
    <definedName name="BEx3RV4E1WT43SZBUN09RTB8EK1O" localSheetId="18" hidden="1">#REF!</definedName>
    <definedName name="BEx3RV4E1WT43SZBUN09RTB8EK1O" hidden="1">#REF!</definedName>
    <definedName name="BEx3RXO31FBRRLV0JNYV5WKXBI0B" localSheetId="18" hidden="1">#REF!</definedName>
    <definedName name="BEx3RXO31FBRRLV0JNYV5WKXBI0B" hidden="1">#REF!</definedName>
    <definedName name="BEx3RXYU0QLFXSFTM5EB20GD03W5" localSheetId="18" hidden="1">#REF!</definedName>
    <definedName name="BEx3RXYU0QLFXSFTM5EB20GD03W5" hidden="1">#REF!</definedName>
    <definedName name="BEx3RYKLC3QQO3XTUN7BEW2AQL98" localSheetId="18" hidden="1">#REF!</definedName>
    <definedName name="BEx3RYKLC3QQO3XTUN7BEW2AQL98" hidden="1">#REF!</definedName>
    <definedName name="BEx3S0D6JUMB108LOCZDSMZJEEJ5" localSheetId="18" hidden="1">#REF!</definedName>
    <definedName name="BEx3S0D6JUMB108LOCZDSMZJEEJ5" hidden="1">#REF!</definedName>
    <definedName name="BEx3SHWF5FZ1ENNWE8YT6JTBCDWU" localSheetId="18" hidden="1">#REF!</definedName>
    <definedName name="BEx3SHWF5FZ1ENNWE8YT6JTBCDWU" hidden="1">#REF!</definedName>
    <definedName name="BEx3SICJ45BYT6FHBER86PJT25FC" localSheetId="18" hidden="1">#REF!</definedName>
    <definedName name="BEx3SICJ45BYT6FHBER86PJT25FC" hidden="1">#REF!</definedName>
    <definedName name="BEx3SMUCMJVGQ2H4EHQI5ZFHEF0P" localSheetId="18" hidden="1">#REF!</definedName>
    <definedName name="BEx3SMUCMJVGQ2H4EHQI5ZFHEF0P" hidden="1">#REF!</definedName>
    <definedName name="BEx3SN56F03CPDRDA7LZ763V0N4I" localSheetId="18" hidden="1">#REF!</definedName>
    <definedName name="BEx3SN56F03CPDRDA7LZ763V0N4I" hidden="1">#REF!</definedName>
    <definedName name="BEx3SPE6N1ORXPRCDL3JPZD73Z9F" localSheetId="18" hidden="1">#REF!</definedName>
    <definedName name="BEx3SPE6N1ORXPRCDL3JPZD73Z9F" hidden="1">#REF!</definedName>
    <definedName name="BEx3T29ZTULQE0OMSMWUMZDU9ZZ0" localSheetId="18" hidden="1">#REF!</definedName>
    <definedName name="BEx3T29ZTULQE0OMSMWUMZDU9ZZ0" hidden="1">#REF!</definedName>
    <definedName name="BEx3T6MJ1QDJ929WMUDVZ0O3UW0Y" localSheetId="18" hidden="1">#REF!</definedName>
    <definedName name="BEx3T6MJ1QDJ929WMUDVZ0O3UW0Y" hidden="1">#REF!</definedName>
    <definedName name="BEx3T90SRPHVFZGKZPEL156PTBLG" localSheetId="18" hidden="1">#REF!</definedName>
    <definedName name="BEx3T90SRPHVFZGKZPEL156PTBLG" hidden="1">#REF!</definedName>
    <definedName name="BEx3TMNO7NM03FQTML6ZEBRQXY0M" localSheetId="18" hidden="1">#REF!</definedName>
    <definedName name="BEx3TMNO7NM03FQTML6ZEBRQXY0M" hidden="1">#REF!</definedName>
    <definedName name="BEx3TPCSI16OAB2L9M9IULQMQ9J9" localSheetId="18" hidden="1">#REF!</definedName>
    <definedName name="BEx3TPCSI16OAB2L9M9IULQMQ9J9" hidden="1">#REF!</definedName>
    <definedName name="BEx3U64YUOZ419BAJS2W78UMATAW" localSheetId="18" hidden="1">#REF!</definedName>
    <definedName name="BEx3U64YUOZ419BAJS2W78UMATAW" hidden="1">#REF!</definedName>
    <definedName name="BEx3U94WCEA5DKMWBEX1GU0LKYG2" localSheetId="18" hidden="1">#REF!</definedName>
    <definedName name="BEx3U94WCEA5DKMWBEX1GU0LKYG2" hidden="1">#REF!</definedName>
    <definedName name="BEx3U9VZ8SQVYS6ZA038J7AP7ZGW" localSheetId="18" hidden="1">#REF!</definedName>
    <definedName name="BEx3U9VZ8SQVYS6ZA038J7AP7ZGW" hidden="1">#REF!</definedName>
    <definedName name="BEx3UG11PSVRK9DW5ZNKOB4T24MN" localSheetId="18" hidden="1">'[38]10.08.5 - 2008 Capital - TDBU'!#REF!</definedName>
    <definedName name="BEx3UG11PSVRK9DW5ZNKOB4T24MN" hidden="1">'[38]10.08.5 - 2008 Capital - TDBU'!#REF!</definedName>
    <definedName name="BEx3UIQ5B7PL8QJ6RI0LF7QJWLLO" localSheetId="18" hidden="1">#REF!</definedName>
    <definedName name="BEx3UIQ5B7PL8QJ6RI0LF7QJWLLO" hidden="1">#REF!</definedName>
    <definedName name="BEx3UIQ5WRJBGNTFCCLOR4N7B1OQ" localSheetId="18" hidden="1">#REF!</definedName>
    <definedName name="BEx3UIQ5WRJBGNTFCCLOR4N7B1OQ" hidden="1">#REF!</definedName>
    <definedName name="BEx3UJMIX2NUSSWGMSI25A5DM4CH" localSheetId="18" hidden="1">#REF!</definedName>
    <definedName name="BEx3UJMIX2NUSSWGMSI25A5DM4CH" hidden="1">#REF!</definedName>
    <definedName name="BEx3UKOCOQG7S1YQ436S997K1KWV" localSheetId="18" hidden="1">#REF!</definedName>
    <definedName name="BEx3UKOCOQG7S1YQ436S997K1KWV" hidden="1">#REF!</definedName>
    <definedName name="BEx3UQ7WT8T56S476IYJBFTP1FBY" localSheetId="18" hidden="1">'[38]10.08.5 - 2008 Capital - TDBU'!#REF!</definedName>
    <definedName name="BEx3UQ7WT8T56S476IYJBFTP1FBY" hidden="1">'[38]10.08.5 - 2008 Capital - TDBU'!#REF!</definedName>
    <definedName name="BEx3UU46FGPB8C5GM6QZZZNI8FY1" localSheetId="18" hidden="1">#REF!</definedName>
    <definedName name="BEx3UU46FGPB8C5GM6QZZZNI8FY1" hidden="1">#REF!</definedName>
    <definedName name="BEx3UYM19VIXLA0EU7LB9NHA77PB" localSheetId="18" hidden="1">#REF!</definedName>
    <definedName name="BEx3UYM19VIXLA0EU7LB9NHA77PB" hidden="1">#REF!</definedName>
    <definedName name="BEx3V0EPR8DD44FA1TJFATXBJ5BA" localSheetId="18" hidden="1">#REF!</definedName>
    <definedName name="BEx3V0EPR8DD44FA1TJFATXBJ5BA" hidden="1">#REF!</definedName>
    <definedName name="BEx3VML7CG70HPISMVYIUEN3711Q" localSheetId="18" hidden="1">#REF!</definedName>
    <definedName name="BEx3VML7CG70HPISMVYIUEN3711Q" hidden="1">#REF!</definedName>
    <definedName name="BEx56ZID5H04P9AIYLP1OASFGV56" localSheetId="18" hidden="1">#REF!</definedName>
    <definedName name="BEx56ZID5H04P9AIYLP1OASFGV56" hidden="1">#REF!</definedName>
    <definedName name="BEx57VVOKGYOTHR9Z8AJNKRDSU20" localSheetId="18" hidden="1">#REF!</definedName>
    <definedName name="BEx57VVOKGYOTHR9Z8AJNKRDSU20" hidden="1">#REF!</definedName>
    <definedName name="BEx587EYSS57E3PI8DT973HLJM9E" localSheetId="18" hidden="1">#REF!</definedName>
    <definedName name="BEx587EYSS57E3PI8DT973HLJM9E" hidden="1">#REF!</definedName>
    <definedName name="BEx587KFQ3VKCOCY1SA5F24PQGUI" localSheetId="18" hidden="1">#REF!</definedName>
    <definedName name="BEx587KFQ3VKCOCY1SA5F24PQGUI" hidden="1">#REF!</definedName>
    <definedName name="BEx589YSF6Z3BES2WDO9VJF6J7RD" localSheetId="18" hidden="1">#REF!</definedName>
    <definedName name="BEx589YSF6Z3BES2WDO9VJF6J7RD" hidden="1">#REF!</definedName>
    <definedName name="BEx58HRBEO7GYHL70I9S0DIIR5Y3" localSheetId="18" hidden="1">#REF!</definedName>
    <definedName name="BEx58HRBEO7GYHL70I9S0DIIR5Y3" hidden="1">#REF!</definedName>
    <definedName name="BEx58O1WGJ5ARYSTQ7E7Z9CZ70FW" localSheetId="18" hidden="1">#REF!</definedName>
    <definedName name="BEx58O1WGJ5ARYSTQ7E7Z9CZ70FW" hidden="1">#REF!</definedName>
    <definedName name="BEx58O780PQ05NF0Z1SKKRB3N099" localSheetId="18" hidden="1">#REF!</definedName>
    <definedName name="BEx58O780PQ05NF0Z1SKKRB3N099" hidden="1">#REF!</definedName>
    <definedName name="BEx58XHO7ZULLF2EUD7YIS0MGQJ5" localSheetId="18" hidden="1">#REF!</definedName>
    <definedName name="BEx58XHO7ZULLF2EUD7YIS0MGQJ5" hidden="1">#REF!</definedName>
    <definedName name="BEx58ZW0HAIGIPEX9CVA1PQQTR6X" localSheetId="18" hidden="1">#REF!</definedName>
    <definedName name="BEx58ZW0HAIGIPEX9CVA1PQQTR6X" hidden="1">#REF!</definedName>
    <definedName name="BEx59BA1KH3RG6K1LHL7YS2VB79N" localSheetId="18" hidden="1">#REF!</definedName>
    <definedName name="BEx59BA1KH3RG6K1LHL7YS2VB79N" hidden="1">#REF!</definedName>
    <definedName name="BEx59E9WABJP2TN71QAIKK79HPK9" localSheetId="18" hidden="1">#REF!</definedName>
    <definedName name="BEx59E9WABJP2TN71QAIKK79HPK9" hidden="1">#REF!</definedName>
    <definedName name="BEx59P7MAPNU129ZTC5H3EH892G1" localSheetId="18" hidden="1">#REF!</definedName>
    <definedName name="BEx59P7MAPNU129ZTC5H3EH892G1" hidden="1">#REF!</definedName>
    <definedName name="BEx5A11WZRQSIE089QE119AOX9ZG" localSheetId="18" hidden="1">#REF!</definedName>
    <definedName name="BEx5A11WZRQSIE089QE119AOX9ZG" hidden="1">#REF!</definedName>
    <definedName name="BEx5A6ATFUVEJ0HUDROD1OO0CGV5" localSheetId="18" hidden="1">#REF!</definedName>
    <definedName name="BEx5A6ATFUVEJ0HUDROD1OO0CGV5" hidden="1">#REF!</definedName>
    <definedName name="BEx5A7CIGCOTHJKHGUBDZG91JGPZ" localSheetId="18" hidden="1">#REF!</definedName>
    <definedName name="BEx5A7CIGCOTHJKHGUBDZG91JGPZ" hidden="1">#REF!</definedName>
    <definedName name="BEx5A8UFLT2SWVSG5COFA9B8P376" localSheetId="18" hidden="1">#REF!</definedName>
    <definedName name="BEx5A8UFLT2SWVSG5COFA9B8P376" hidden="1">#REF!</definedName>
    <definedName name="BEx5AFFTN3IXIBHDKM0FYC4OFL1S" localSheetId="18" hidden="1">#REF!</definedName>
    <definedName name="BEx5AFFTN3IXIBHDKM0FYC4OFL1S" hidden="1">#REF!</definedName>
    <definedName name="BEx5AOFIO8KVRHIZ1RII337AA8ML" localSheetId="18" hidden="1">#REF!</definedName>
    <definedName name="BEx5AOFIO8KVRHIZ1RII337AA8ML" hidden="1">#REF!</definedName>
    <definedName name="BEx5APRZ66L5BWHFE8E4YYNEDTI4" localSheetId="18" hidden="1">#REF!</definedName>
    <definedName name="BEx5APRZ66L5BWHFE8E4YYNEDTI4" hidden="1">#REF!</definedName>
    <definedName name="BEx5ARVI26GBOMZ6NBHE2KUBTNSP" localSheetId="18" hidden="1">'[38]10.08.3 - 2008 Expense - TDBU'!#REF!</definedName>
    <definedName name="BEx5ARVI26GBOMZ6NBHE2KUBTNSP" hidden="1">'[38]10.08.3 - 2008 Expense - TDBU'!#REF!</definedName>
    <definedName name="BEx5AUVDSQ35VO4BD9AKKGBM5S7D" localSheetId="18" hidden="1">#REF!</definedName>
    <definedName name="BEx5AUVDSQ35VO4BD9AKKGBM5S7D" hidden="1">#REF!</definedName>
    <definedName name="BEx5B4RHHX0J1BF2FZKEA0SPP29O" localSheetId="18" hidden="1">#REF!</definedName>
    <definedName name="BEx5B4RHHX0J1BF2FZKEA0SPP29O" hidden="1">#REF!</definedName>
    <definedName name="BEx5B5YMSWP0OVI5CIQRP5V18D0C" localSheetId="18" hidden="1">#REF!</definedName>
    <definedName name="BEx5B5YMSWP0OVI5CIQRP5V18D0C" hidden="1">#REF!</definedName>
    <definedName name="BEx5B825RW35M5H0UB2IZGGRS4ER" localSheetId="18" hidden="1">#REF!</definedName>
    <definedName name="BEx5B825RW35M5H0UB2IZGGRS4ER" hidden="1">#REF!</definedName>
    <definedName name="BEx5BAWPMY0TL684WDXX6KKJLRCN" localSheetId="18" hidden="1">#REF!</definedName>
    <definedName name="BEx5BAWPMY0TL684WDXX6KKJLRCN" hidden="1">#REF!</definedName>
    <definedName name="BEx5BBI61U4Y65GD0ARMTALPP7SJ" localSheetId="18" hidden="1">#REF!</definedName>
    <definedName name="BEx5BBI61U4Y65GD0ARMTALPP7SJ" hidden="1">#REF!</definedName>
    <definedName name="BEx5BD5L6LIQ99M87XJMWWNL031Z" localSheetId="18" hidden="1">#REF!</definedName>
    <definedName name="BEx5BD5L6LIQ99M87XJMWWNL031Z" hidden="1">#REF!</definedName>
    <definedName name="BEx5BDR56MEV4IHY6CIH2SVNG1UB" localSheetId="18" hidden="1">#REF!</definedName>
    <definedName name="BEx5BDR56MEV4IHY6CIH2SVNG1UB" hidden="1">#REF!</definedName>
    <definedName name="BEx5BESZC5H329SKHGJOHZFILYJJ" localSheetId="18" hidden="1">#REF!</definedName>
    <definedName name="BEx5BESZC5H329SKHGJOHZFILYJJ" hidden="1">#REF!</definedName>
    <definedName name="BEx5BHSQ42B50IU1TEQFUXFX9XQD" localSheetId="18" hidden="1">#REF!</definedName>
    <definedName name="BEx5BHSQ42B50IU1TEQFUXFX9XQD" hidden="1">#REF!</definedName>
    <definedName name="BEx5BKHUCQEM4FA2DEQUKKC2QEYR" localSheetId="18" hidden="1">#REF!</definedName>
    <definedName name="BEx5BKHUCQEM4FA2DEQUKKC2QEYR" hidden="1">#REF!</definedName>
    <definedName name="BEx5BKSM4UN4C1DM3EYKM79MRC5K" localSheetId="18" hidden="1">#REF!</definedName>
    <definedName name="BEx5BKSM4UN4C1DM3EYKM79MRC5K" hidden="1">#REF!</definedName>
    <definedName name="BEx5BNN8NPH9KVOBARB9CDD9WLB6" localSheetId="18" hidden="1">#REF!</definedName>
    <definedName name="BEx5BNN8NPH9KVOBARB9CDD9WLB6" hidden="1">#REF!</definedName>
    <definedName name="BEx5BQ6UF5C89VX5ZUUUNN7Q2S3Z" localSheetId="18" hidden="1">#REF!</definedName>
    <definedName name="BEx5BQ6UF5C89VX5ZUUUNN7Q2S3Z" hidden="1">#REF!</definedName>
    <definedName name="BEx5BWC3RHNNZZNXQ3IJ1GNNZW7M" localSheetId="18" hidden="1">#REF!</definedName>
    <definedName name="BEx5BWC3RHNNZZNXQ3IJ1GNNZW7M" hidden="1">#REF!</definedName>
    <definedName name="BEx5BXJATFA4GZNILN2UJ1D2AOGO" localSheetId="18" hidden="1">#REF!</definedName>
    <definedName name="BEx5BXJATFA4GZNILN2UJ1D2AOGO" hidden="1">#REF!</definedName>
    <definedName name="BEx5BYFMZ80TDDN2EZO8CF39AIAC" localSheetId="18" hidden="1">#REF!</definedName>
    <definedName name="BEx5BYFMZ80TDDN2EZO8CF39AIAC" hidden="1">#REF!</definedName>
    <definedName name="BEx5C2BWFW6SHZBFDEISKGXHZCQW" localSheetId="18" hidden="1">#REF!</definedName>
    <definedName name="BEx5C2BWFW6SHZBFDEISKGXHZCQW" hidden="1">#REF!</definedName>
    <definedName name="BEx5C49ZFH8TO9ZU55729C3F7XG7" localSheetId="18" hidden="1">#REF!</definedName>
    <definedName name="BEx5C49ZFH8TO9ZU55729C3F7XG7" hidden="1">#REF!</definedName>
    <definedName name="BEx5C8GZQK13G60ZM70P63I5OS0L" localSheetId="18" hidden="1">#REF!</definedName>
    <definedName name="BEx5C8GZQK13G60ZM70P63I5OS0L" hidden="1">#REF!</definedName>
    <definedName name="BEx5CAPTVN2NBT3UOMA1UFAL1C2R" localSheetId="18" hidden="1">#REF!</definedName>
    <definedName name="BEx5CAPTVN2NBT3UOMA1UFAL1C2R" hidden="1">#REF!</definedName>
    <definedName name="BEx5CEM3SYF9XP0ZZVE0GEPCLV3F" localSheetId="18" hidden="1">#REF!</definedName>
    <definedName name="BEx5CEM3SYF9XP0ZZVE0GEPCLV3F" hidden="1">#REF!</definedName>
    <definedName name="BEx5CFYQ0F1Z6P8SCVJ0I3UPVFE4" localSheetId="18" hidden="1">#REF!</definedName>
    <definedName name="BEx5CFYQ0F1Z6P8SCVJ0I3UPVFE4" hidden="1">#REF!</definedName>
    <definedName name="BEx5CINUDCSDCAJSNNV7XVNU8Q79" localSheetId="18" hidden="1">#REF!</definedName>
    <definedName name="BEx5CINUDCSDCAJSNNV7XVNU8Q79" hidden="1">#REF!</definedName>
    <definedName name="BEx5CNLUIOYU8EODGA03Z3547I9T" localSheetId="18" hidden="1">#REF!</definedName>
    <definedName name="BEx5CNLUIOYU8EODGA03Z3547I9T" hidden="1">#REF!</definedName>
    <definedName name="BEx5CPEKNSJORIPFQC2E1LTRYY8L" localSheetId="18" hidden="1">#REF!</definedName>
    <definedName name="BEx5CPEKNSJORIPFQC2E1LTRYY8L" hidden="1">#REF!</definedName>
    <definedName name="BEx5CSUOL05D8PAM2TRDA9VRJT1O" localSheetId="18" hidden="1">#REF!</definedName>
    <definedName name="BEx5CSUOL05D8PAM2TRDA9VRJT1O" hidden="1">#REF!</definedName>
    <definedName name="BEx5CUNFOO4YDFJ22HCMI2QKIGKM" localSheetId="18" hidden="1">#REF!</definedName>
    <definedName name="BEx5CUNFOO4YDFJ22HCMI2QKIGKM" hidden="1">#REF!</definedName>
    <definedName name="BEx5D2W3OTZO7F8Q91CV254Q4LKE" localSheetId="18" hidden="1">#REF!</definedName>
    <definedName name="BEx5D2W3OTZO7F8Q91CV254Q4LKE" hidden="1">#REF!</definedName>
    <definedName name="BEx5D5W0OED6788ZKXNBW6BMYRB4" localSheetId="18" hidden="1">#REF!</definedName>
    <definedName name="BEx5D5W0OED6788ZKXNBW6BMYRB4" hidden="1">#REF!</definedName>
    <definedName name="BEx5D8L47OF0WHBPFWXGZINZWUBZ" localSheetId="18" hidden="1">#REF!</definedName>
    <definedName name="BEx5D8L47OF0WHBPFWXGZINZWUBZ" hidden="1">#REF!</definedName>
    <definedName name="BEx5DAJAHQ2SKUPCKSCR3PYML67L" localSheetId="18" hidden="1">#REF!</definedName>
    <definedName name="BEx5DAJAHQ2SKUPCKSCR3PYML67L" hidden="1">#REF!</definedName>
    <definedName name="BEx5DC18JM1KJCV44PF18E0LNRKA" localSheetId="18" hidden="1">#REF!</definedName>
    <definedName name="BEx5DC18JM1KJCV44PF18E0LNRKA" hidden="1">#REF!</definedName>
    <definedName name="BEx5DJIZBTNS011R9IIG2OQ2L6ZX" localSheetId="18" hidden="1">#REF!</definedName>
    <definedName name="BEx5DJIZBTNS011R9IIG2OQ2L6ZX" hidden="1">#REF!</definedName>
    <definedName name="BEx5E123OLO9WQUOIRIDJ967KAGK" localSheetId="18" hidden="1">#REF!</definedName>
    <definedName name="BEx5E123OLO9WQUOIRIDJ967KAGK" hidden="1">#REF!</definedName>
    <definedName name="BEx5E2UU5NES6W779W2OZTZOB4O7" localSheetId="18" hidden="1">#REF!</definedName>
    <definedName name="BEx5E2UU5NES6W779W2OZTZOB4O7" hidden="1">#REF!</definedName>
    <definedName name="BEx5E4CSE5G83J5K32WENF7BXL82" localSheetId="18" hidden="1">#REF!</definedName>
    <definedName name="BEx5E4CSE5G83J5K32WENF7BXL82" hidden="1">#REF!</definedName>
    <definedName name="BEx5ELQL9B0VR6UT18KP11DHOTFX" localSheetId="18" hidden="1">#REF!</definedName>
    <definedName name="BEx5ELQL9B0VR6UT18KP11DHOTFX" hidden="1">#REF!</definedName>
    <definedName name="BEx5ER4TJTFPN7IB1MNEB1ZFR5M6" localSheetId="18" hidden="1">#REF!</definedName>
    <definedName name="BEx5ER4TJTFPN7IB1MNEB1ZFR5M6" hidden="1">#REF!</definedName>
    <definedName name="BEx5EW87ACRI46LAKG0VDJVFLG7R" localSheetId="18" hidden="1">#REF!</definedName>
    <definedName name="BEx5EW87ACRI46LAKG0VDJVFLG7R" hidden="1">#REF!</definedName>
    <definedName name="BEx5F6KF3SROYIFF0A1HJRV87YZC" localSheetId="18" hidden="1">#REF!</definedName>
    <definedName name="BEx5F6KF3SROYIFF0A1HJRV87YZC" hidden="1">#REF!</definedName>
    <definedName name="BEx5F6V72QTCK7O39Y59R0EVM6CW" localSheetId="18" hidden="1">#REF!</definedName>
    <definedName name="BEx5F6V72QTCK7O39Y59R0EVM6CW" hidden="1">#REF!</definedName>
    <definedName name="BEx5F9K9B2XA4LVU2LJMI89AW8BO" localSheetId="18" hidden="1">#REF!</definedName>
    <definedName name="BEx5F9K9B2XA4LVU2LJMI89AW8BO" hidden="1">#REF!</definedName>
    <definedName name="BEx5FGLQVACD5F5YZG4DGSCHCGO2" localSheetId="18" hidden="1">#REF!</definedName>
    <definedName name="BEx5FGLQVACD5F5YZG4DGSCHCGO2" hidden="1">#REF!</definedName>
    <definedName name="BEx5FLJWHLW3BTZILDPN5NMA449V" localSheetId="18" hidden="1">#REF!</definedName>
    <definedName name="BEx5FLJWHLW3BTZILDPN5NMA449V" hidden="1">#REF!</definedName>
    <definedName name="BEx5FNI2O10YN2SI1NO4X5GP3GTF" localSheetId="18" hidden="1">#REF!</definedName>
    <definedName name="BEx5FNI2O10YN2SI1NO4X5GP3GTF" hidden="1">#REF!</definedName>
    <definedName name="BEx5FO8YRFSZCG3L608EHIHIHFY4" localSheetId="18" hidden="1">#REF!</definedName>
    <definedName name="BEx5FO8YRFSZCG3L608EHIHIHFY4" hidden="1">#REF!</definedName>
    <definedName name="BEx5FOUK8T0EOTFUKGIWKKOE6F7G" localSheetId="18" hidden="1">#REF!</definedName>
    <definedName name="BEx5FOUK8T0EOTFUKGIWKKOE6F7G" hidden="1">#REF!</definedName>
    <definedName name="BEx5FQNA6V4CNYSH013K45RI4BCV" localSheetId="18" hidden="1">#REF!</definedName>
    <definedName name="BEx5FQNA6V4CNYSH013K45RI4BCV" hidden="1">#REF!</definedName>
    <definedName name="BEx5FVQPPEU32CPNV9RRQ9MNLLVE" localSheetId="18" hidden="1">#REF!</definedName>
    <definedName name="BEx5FVQPPEU32CPNV9RRQ9MNLLVE" hidden="1">#REF!</definedName>
    <definedName name="BEx5FZC6RK92TU32WZ4N099LWYKZ" localSheetId="18" hidden="1">#REF!</definedName>
    <definedName name="BEx5FZC6RK92TU32WZ4N099LWYKZ" hidden="1">#REF!</definedName>
    <definedName name="BEx5G08KGMG5X2AQKDGPFYG5GH94" localSheetId="18" hidden="1">#REF!</definedName>
    <definedName name="BEx5G08KGMG5X2AQKDGPFYG5GH94" hidden="1">#REF!</definedName>
    <definedName name="BEx5G1A8TFN4C4QII35U9DKYNIS8" localSheetId="18" hidden="1">#REF!</definedName>
    <definedName name="BEx5G1A8TFN4C4QII35U9DKYNIS8" hidden="1">#REF!</definedName>
    <definedName name="BEx5G1L0QO91KEPDMV1D8OT4BT73" localSheetId="18" hidden="1">#REF!</definedName>
    <definedName name="BEx5G1L0QO91KEPDMV1D8OT4BT73" hidden="1">#REF!</definedName>
    <definedName name="BEx5G86DZL1VYUX6KWODAP3WFAWP" localSheetId="18" hidden="1">#REF!</definedName>
    <definedName name="BEx5G86DZL1VYUX6KWODAP3WFAWP" hidden="1">#REF!</definedName>
    <definedName name="BEx5G8BV2GIOCM3C7IUFK8L04A6M" localSheetId="18" hidden="1">#REF!</definedName>
    <definedName name="BEx5G8BV2GIOCM3C7IUFK8L04A6M" hidden="1">#REF!</definedName>
    <definedName name="BEx5GID9MVBUPFFT9M8K8B5MO9NV" localSheetId="18" hidden="1">#REF!</definedName>
    <definedName name="BEx5GID9MVBUPFFT9M8K8B5MO9NV" hidden="1">#REF!</definedName>
    <definedName name="BEx5GN0EWA9SCQDPQ7NTUQH82QVK" localSheetId="18" hidden="1">#REF!</definedName>
    <definedName name="BEx5GN0EWA9SCQDPQ7NTUQH82QVK" hidden="1">#REF!</definedName>
    <definedName name="BEx5GNBCU4WZ74I0UXFL9ZG2XSGJ" localSheetId="18" hidden="1">#REF!</definedName>
    <definedName name="BEx5GNBCU4WZ74I0UXFL9ZG2XSGJ" hidden="1">#REF!</definedName>
    <definedName name="BEx5GUCTYC7QCWGWU5BTO7Y7HDZX" localSheetId="18" hidden="1">#REF!</definedName>
    <definedName name="BEx5GUCTYC7QCWGWU5BTO7Y7HDZX" hidden="1">#REF!</definedName>
    <definedName name="BEx5GYUPJULJQ624TEESYFG1NFOH" localSheetId="18" hidden="1">#REF!</definedName>
    <definedName name="BEx5GYUPJULJQ624TEESYFG1NFOH" hidden="1">#REF!</definedName>
    <definedName name="BEx5H0NEE0AIN5E2UHJ9J9ISU9N1" localSheetId="18" hidden="1">#REF!</definedName>
    <definedName name="BEx5H0NEE0AIN5E2UHJ9J9ISU9N1" hidden="1">#REF!</definedName>
    <definedName name="BEx5H1UJSEUQM2K8QHQXO5THVHSO" localSheetId="18" hidden="1">#REF!</definedName>
    <definedName name="BEx5H1UJSEUQM2K8QHQXO5THVHSO" hidden="1">#REF!</definedName>
    <definedName name="BEx5H78SWSMTWKQVAC01YN6480JD" localSheetId="18" hidden="1">#REF!</definedName>
    <definedName name="BEx5H78SWSMTWKQVAC01YN6480JD" hidden="1">#REF!</definedName>
    <definedName name="BEx5HAOT9XWUF7XIFRZZS8B9F5TZ" localSheetId="18" hidden="1">#REF!</definedName>
    <definedName name="BEx5HAOT9XWUF7XIFRZZS8B9F5TZ" hidden="1">#REF!</definedName>
    <definedName name="BEx5HE4XRF9BUY04MENWY9CHHN5H" localSheetId="18" hidden="1">#REF!</definedName>
    <definedName name="BEx5HE4XRF9BUY04MENWY9CHHN5H" hidden="1">#REF!</definedName>
    <definedName name="BEx5HFHMABAT0H9KKS754X4T304E" localSheetId="18" hidden="1">#REF!</definedName>
    <definedName name="BEx5HFHMABAT0H9KKS754X4T304E" hidden="1">#REF!</definedName>
    <definedName name="BEx5HGDZ7MX1S3KNXLRL9WU565V4" localSheetId="18" hidden="1">#REF!</definedName>
    <definedName name="BEx5HGDZ7MX1S3KNXLRL9WU565V4" hidden="1">#REF!</definedName>
    <definedName name="BEx5HJ8DU0ZDRX2BY3TDR7LG7FYG" localSheetId="18" hidden="1">#REF!</definedName>
    <definedName name="BEx5HJ8DU0ZDRX2BY3TDR7LG7FYG" hidden="1">#REF!</definedName>
    <definedName name="BEx5HJZ9FAVNZSSBTAYRPZDYM9NU" localSheetId="18" hidden="1">#REF!</definedName>
    <definedName name="BEx5HJZ9FAVNZSSBTAYRPZDYM9NU" hidden="1">#REF!</definedName>
    <definedName name="BEx5HMDKAGHEFJ193YZUKU547LDS" localSheetId="18" hidden="1">#REF!</definedName>
    <definedName name="BEx5HMDKAGHEFJ193YZUKU547LDS" hidden="1">#REF!</definedName>
    <definedName name="BEx5HZ9JMKHNLFWLVUB1WP5B39BL" localSheetId="18" hidden="1">#REF!</definedName>
    <definedName name="BEx5HZ9JMKHNLFWLVUB1WP5B39BL" hidden="1">#REF!</definedName>
    <definedName name="BEx5I1D22RX2VD9NZESVVM6JZ8G5" localSheetId="18" hidden="1">#REF!</definedName>
    <definedName name="BEx5I1D22RX2VD9NZESVVM6JZ8G5" hidden="1">#REF!</definedName>
    <definedName name="BEx5I244LQHZTF3XI66J8705R9XX" localSheetId="18" hidden="1">#REF!</definedName>
    <definedName name="BEx5I244LQHZTF3XI66J8705R9XX" hidden="1">#REF!</definedName>
    <definedName name="BEx5I5K5UOAJ82FDJ4HULUM3KX7E" localSheetId="18" hidden="1">#REF!</definedName>
    <definedName name="BEx5I5K5UOAJ82FDJ4HULUM3KX7E" hidden="1">#REF!</definedName>
    <definedName name="BEx5I8PBP4LIXDGID5BP0THLO0AQ" localSheetId="18" hidden="1">#REF!</definedName>
    <definedName name="BEx5I8PBP4LIXDGID5BP0THLO0AQ" hidden="1">#REF!</definedName>
    <definedName name="BEx5I8USVUB3JP4S9OXGMZVMOQXR" localSheetId="18" hidden="1">#REF!</definedName>
    <definedName name="BEx5I8USVUB3JP4S9OXGMZVMOQXR" hidden="1">#REF!</definedName>
    <definedName name="BEx5I9GDQSYIAL65UQNDMNFQCS9Y" localSheetId="18" hidden="1">#REF!</definedName>
    <definedName name="BEx5I9GDQSYIAL65UQNDMNFQCS9Y" hidden="1">#REF!</definedName>
    <definedName name="BEx5IBUPG9AWNW5PK7JGRGEJ4OLM" localSheetId="18" hidden="1">#REF!</definedName>
    <definedName name="BEx5IBUPG9AWNW5PK7JGRGEJ4OLM" hidden="1">#REF!</definedName>
    <definedName name="BEx5IC06RVN8BSAEPREVKHKLCJ2L" localSheetId="18" hidden="1">#REF!</definedName>
    <definedName name="BEx5IC06RVN8BSAEPREVKHKLCJ2L" hidden="1">#REF!</definedName>
    <definedName name="BEx5IMN4F143KVYVDFOQYZVJG5X6" localSheetId="18" hidden="1">#REF!</definedName>
    <definedName name="BEx5IMN4F143KVYVDFOQYZVJG5X6" hidden="1">#REF!</definedName>
    <definedName name="BEx5ITU42638OWOBF2BOWE37XFP9" localSheetId="18" hidden="1">#REF!</definedName>
    <definedName name="BEx5ITU42638OWOBF2BOWE37XFP9" hidden="1">#REF!</definedName>
    <definedName name="BEx5J0FFP1KS4NGY20AEJI8VREEA" localSheetId="18" hidden="1">#REF!</definedName>
    <definedName name="BEx5J0FFP1KS4NGY20AEJI8VREEA" hidden="1">#REF!</definedName>
    <definedName name="BEx5JF3ZXLDIS8VNKDCY7ZI7H1CI" localSheetId="18" hidden="1">#REF!</definedName>
    <definedName name="BEx5JF3ZXLDIS8VNKDCY7ZI7H1CI" hidden="1">#REF!</definedName>
    <definedName name="BEx5JHCZJ8G6OOOW6EF3GABXKH6F" localSheetId="18" hidden="1">#REF!</definedName>
    <definedName name="BEx5JHCZJ8G6OOOW6EF3GABXKH6F" hidden="1">#REF!</definedName>
    <definedName name="BEx5JJB6W446THXQCRUKD3I7RKLP" localSheetId="18" hidden="1">#REF!</definedName>
    <definedName name="BEx5JJB6W446THXQCRUKD3I7RKLP" hidden="1">#REF!</definedName>
    <definedName name="BEx5JJWTMI37U3RDEJOYLO93RJ6Z" localSheetId="18" hidden="1">#REF!</definedName>
    <definedName name="BEx5JJWTMI37U3RDEJOYLO93RJ6Z" hidden="1">#REF!</definedName>
    <definedName name="BEx5JNCT8Z7XSSPD5EMNAJELCU2V" localSheetId="18" hidden="1">#REF!</definedName>
    <definedName name="BEx5JNCT8Z7XSSPD5EMNAJELCU2V" hidden="1">#REF!</definedName>
    <definedName name="BEx5JQCNT9Y4RM306CHC8IPY3HBZ" localSheetId="18" hidden="1">#REF!</definedName>
    <definedName name="BEx5JQCNT9Y4RM306CHC8IPY3HBZ" hidden="1">#REF!</definedName>
    <definedName name="BEx5K08PYKE6JOKBYIB006TX619P" localSheetId="18" hidden="1">#REF!</definedName>
    <definedName name="BEx5K08PYKE6JOKBYIB006TX619P" hidden="1">#REF!</definedName>
    <definedName name="BEx5K51DSERT1TR7B4A29R41W4NX" localSheetId="18" hidden="1">#REF!</definedName>
    <definedName name="BEx5K51DSERT1TR7B4A29R41W4NX" hidden="1">#REF!</definedName>
    <definedName name="BEx5KF88OT7666J799PZCTHRBOPU" localSheetId="18" hidden="1">#REF!</definedName>
    <definedName name="BEx5KF88OT7666J799PZCTHRBOPU" hidden="1">#REF!</definedName>
    <definedName name="BEx5KMVAY7UVXRQY7NI5EZYMNGC7" localSheetId="18" hidden="1">#REF!</definedName>
    <definedName name="BEx5KMVAY7UVXRQY7NI5EZYMNGC7" hidden="1">#REF!</definedName>
    <definedName name="BEx5KYER580I4T7WTLMUN7NLNP5K" localSheetId="18" hidden="1">#REF!</definedName>
    <definedName name="BEx5KYER580I4T7WTLMUN7NLNP5K" hidden="1">#REF!</definedName>
    <definedName name="BEx5LHLB3M6K4ZKY2F42QBZT30ZH" localSheetId="18" hidden="1">#REF!</definedName>
    <definedName name="BEx5LHLB3M6K4ZKY2F42QBZT30ZH" hidden="1">#REF!</definedName>
    <definedName name="BEx5LRMNU3HXIE1BUMDHRU31F7JJ" localSheetId="18" hidden="1">#REF!</definedName>
    <definedName name="BEx5LRMNU3HXIE1BUMDHRU31F7JJ" hidden="1">#REF!</definedName>
    <definedName name="BEx5LSJ1LPUAX3ENSPECWPG4J7D1" localSheetId="18" hidden="1">#REF!</definedName>
    <definedName name="BEx5LSJ1LPUAX3ENSPECWPG4J7D1" hidden="1">#REF!</definedName>
    <definedName name="BEx5LTKQ8RQWJE4BC88OP928893U" localSheetId="18" hidden="1">#REF!</definedName>
    <definedName name="BEx5LTKQ8RQWJE4BC88OP928893U" hidden="1">#REF!</definedName>
    <definedName name="BEx5LZ9QXSWRX35EGBF4FB303PNE" localSheetId="18" hidden="1">#REF!</definedName>
    <definedName name="BEx5LZ9QXSWRX35EGBF4FB303PNE" hidden="1">#REF!</definedName>
    <definedName name="BEx5MB9BR71LZDG7XXQ2EO58JC5F" localSheetId="18" hidden="1">#REF!</definedName>
    <definedName name="BEx5MB9BR71LZDG7XXQ2EO58JC5F" hidden="1">#REF!</definedName>
    <definedName name="BEx5MLQZM68YQSKARVWTTPINFQ2C" localSheetId="18" hidden="1">[39]Table!#REF!</definedName>
    <definedName name="BEx5MLQZM68YQSKARVWTTPINFQ2C" hidden="1">[39]Table!#REF!</definedName>
    <definedName name="BEx5MVXTKNBXHNWTL43C670E4KXC" localSheetId="18" hidden="1">#REF!</definedName>
    <definedName name="BEx5MVXTKNBXHNWTL43C670E4KXC" hidden="1">#REF!</definedName>
    <definedName name="BEx5N4XI4PWB1W9PMZ4O5R0HWTYD" localSheetId="18" hidden="1">#REF!</definedName>
    <definedName name="BEx5N4XI4PWB1W9PMZ4O5R0HWTYD" hidden="1">#REF!</definedName>
    <definedName name="BEx5N8TQPT9Q7AMBG5SNEYKR98Y8" localSheetId="18" hidden="1">#REF!</definedName>
    <definedName name="BEx5N8TQPT9Q7AMBG5SNEYKR98Y8" hidden="1">#REF!</definedName>
    <definedName name="BEx5NA68N6FJFX9UJXK4M14U487F" localSheetId="18" hidden="1">#REF!</definedName>
    <definedName name="BEx5NA68N6FJFX9UJXK4M14U487F" hidden="1">#REF!</definedName>
    <definedName name="BEx5ND64XZTLSC6HF2CJ3WYIIH2F" localSheetId="18" hidden="1">#REF!</definedName>
    <definedName name="BEx5ND64XZTLSC6HF2CJ3WYIIH2F" hidden="1">#REF!</definedName>
    <definedName name="BEx5NHTGLW35S2ITT7VPUKDNZRF7" localSheetId="18" hidden="1">#REF!</definedName>
    <definedName name="BEx5NHTGLW35S2ITT7VPUKDNZRF7" hidden="1">#REF!</definedName>
    <definedName name="BEx5NIKBG2GDJOYGE3WCXKU7YY51" localSheetId="18" hidden="1">#REF!</definedName>
    <definedName name="BEx5NIKBG2GDJOYGE3WCXKU7YY51" hidden="1">#REF!</definedName>
    <definedName name="BEx5NV06L5J5IMKGOMGKGJ4PBZCD" localSheetId="18" hidden="1">#REF!</definedName>
    <definedName name="BEx5NV06L5J5IMKGOMGKGJ4PBZCD" hidden="1">#REF!</definedName>
    <definedName name="BEx5NZSSQ6PY99ZX2D7Q9IGOR34W" localSheetId="18" hidden="1">#REF!</definedName>
    <definedName name="BEx5NZSSQ6PY99ZX2D7Q9IGOR34W" hidden="1">#REF!</definedName>
    <definedName name="BEx5O2CHK5IPBZFPSJ15PKMKXH2W" localSheetId="18" hidden="1">#REF!</definedName>
    <definedName name="BEx5O2CHK5IPBZFPSJ15PKMKXH2W" hidden="1">#REF!</definedName>
    <definedName name="BEx5O3ZUQ2OARA1CDOZ3NC4UE5AA" localSheetId="18" hidden="1">#REF!</definedName>
    <definedName name="BEx5O3ZUQ2OARA1CDOZ3NC4UE5AA" hidden="1">#REF!</definedName>
    <definedName name="BEx5OAFS0NJ2CB86A02E1JYHMLQ1" localSheetId="18" hidden="1">#REF!</definedName>
    <definedName name="BEx5OAFS0NJ2CB86A02E1JYHMLQ1" hidden="1">#REF!</definedName>
    <definedName name="BEx5OFDQH6J3G0YOE5U93X2QN95E" localSheetId="18" hidden="1">#REF!</definedName>
    <definedName name="BEx5OFDQH6J3G0YOE5U93X2QN95E" hidden="1">#REF!</definedName>
    <definedName name="BEx5OG4RPU8W1ETWDWM234NYYYEN" localSheetId="18" hidden="1">#REF!</definedName>
    <definedName name="BEx5OG4RPU8W1ETWDWM234NYYYEN" hidden="1">#REF!</definedName>
    <definedName name="BEx5OP9Y43F99O2IT69MKCCXGL61" localSheetId="18" hidden="1">#REF!</definedName>
    <definedName name="BEx5OP9Y43F99O2IT69MKCCXGL61" hidden="1">#REF!</definedName>
    <definedName name="BEx5ORDB6IPFBL15XLQCRC6PS01K" localSheetId="18" hidden="1">#REF!</definedName>
    <definedName name="BEx5ORDB6IPFBL15XLQCRC6PS01K" hidden="1">#REF!</definedName>
    <definedName name="BEx5P3243YD55WK9A04WKXBOHZ9F" localSheetId="18" hidden="1">'[38]10.08.5 - 2008 Capital - TDBU'!#REF!</definedName>
    <definedName name="BEx5P3243YD55WK9A04WKXBOHZ9F" hidden="1">'[38]10.08.5 - 2008 Capital - TDBU'!#REF!</definedName>
    <definedName name="BEx5P9Y9RDXNUAJ6CZ2LHMM8IM7T" localSheetId="18" hidden="1">#REF!</definedName>
    <definedName name="BEx5P9Y9RDXNUAJ6CZ2LHMM8IM7T" hidden="1">#REF!</definedName>
    <definedName name="BEx5PF76KPATYJ4N41VA1D7CDWY4" localSheetId="18" hidden="1">#REF!</definedName>
    <definedName name="BEx5PF76KPATYJ4N41VA1D7CDWY4" hidden="1">#REF!</definedName>
    <definedName name="BEx5PHWB2C0D5QLP3BZIP3UO7DIZ" localSheetId="18" hidden="1">#REF!</definedName>
    <definedName name="BEx5PHWB2C0D5QLP3BZIP3UO7DIZ" hidden="1">#REF!</definedName>
    <definedName name="BEx5PJP02W68K2E46L5C5YBSNU6T" localSheetId="18" hidden="1">#REF!</definedName>
    <definedName name="BEx5PJP02W68K2E46L5C5YBSNU6T" hidden="1">#REF!</definedName>
    <definedName name="BEx5PLCA8DOMAU315YCS5275L2HS" localSheetId="18" hidden="1">#REF!</definedName>
    <definedName name="BEx5PLCA8DOMAU315YCS5275L2HS" hidden="1">#REF!</definedName>
    <definedName name="BEx5PRXMZ5M65Z732WNNGV564C2J" localSheetId="18" hidden="1">#REF!</definedName>
    <definedName name="BEx5PRXMZ5M65Z732WNNGV564C2J" hidden="1">#REF!</definedName>
    <definedName name="BEx5QPSW4IPLH50WSR87HRER05RF" localSheetId="18" hidden="1">#REF!</definedName>
    <definedName name="BEx5QPSW4IPLH50WSR87HRER05RF" hidden="1">#REF!</definedName>
    <definedName name="BEx73V0EP8EMNRC3EZJJKKVKWQVB" localSheetId="18" hidden="1">#REF!</definedName>
    <definedName name="BEx73V0EP8EMNRC3EZJJKKVKWQVB" hidden="1">#REF!</definedName>
    <definedName name="BEx741WJHIJVXUX131SBXTVW8D71" localSheetId="18" hidden="1">#REF!</definedName>
    <definedName name="BEx741WJHIJVXUX131SBXTVW8D71" hidden="1">#REF!</definedName>
    <definedName name="BEx74ESIB9Y8KGETIERMKU5PLCQR" localSheetId="18" hidden="1">#REF!</definedName>
    <definedName name="BEx74ESIB9Y8KGETIERMKU5PLCQR" hidden="1">#REF!</definedName>
    <definedName name="BEx74Q6H3O7133AWQXWC21MI2UFT" localSheetId="18" hidden="1">#REF!</definedName>
    <definedName name="BEx74Q6H3O7133AWQXWC21MI2UFT" hidden="1">#REF!</definedName>
    <definedName name="BEx74SVN624OKKQLMBVAPE9KAL13" localSheetId="18" hidden="1">#REF!</definedName>
    <definedName name="BEx74SVN624OKKQLMBVAPE9KAL13" hidden="1">#REF!</definedName>
    <definedName name="BEx74W6BJ8ENO3J25WNM5H5APKA3" localSheetId="18" hidden="1">#REF!</definedName>
    <definedName name="BEx74W6BJ8ENO3J25WNM5H5APKA3" hidden="1">#REF!</definedName>
    <definedName name="BEx7532GP65LPFYWT7B0NMQMFZNV" localSheetId="18" hidden="1">#REF!</definedName>
    <definedName name="BEx7532GP65LPFYWT7B0NMQMFZNV" hidden="1">#REF!</definedName>
    <definedName name="BEx755GRRD9BL27YHLH5QWIYLWB7" localSheetId="18" hidden="1">#REF!</definedName>
    <definedName name="BEx755GRRD9BL27YHLH5QWIYLWB7" hidden="1">#REF!</definedName>
    <definedName name="BEx7579IFVUAVJ784K1JNXQW1Z9I" localSheetId="18" hidden="1">#REF!</definedName>
    <definedName name="BEx7579IFVUAVJ784K1JNXQW1Z9I" hidden="1">#REF!</definedName>
    <definedName name="BEx759D1D5SXS5ELLZVBI0SXYUNF" localSheetId="18" hidden="1">#REF!</definedName>
    <definedName name="BEx759D1D5SXS5ELLZVBI0SXYUNF" hidden="1">#REF!</definedName>
    <definedName name="BEx75GJZSZHUDN6OOAGQYFUDA2LP" localSheetId="18" hidden="1">#REF!</definedName>
    <definedName name="BEx75GJZSZHUDN6OOAGQYFUDA2LP" hidden="1">#REF!</definedName>
    <definedName name="BEx75HGCCV5K4UCJWYV8EV9AG5YT" localSheetId="18" hidden="1">#REF!</definedName>
    <definedName name="BEx75HGCCV5K4UCJWYV8EV9AG5YT" hidden="1">#REF!</definedName>
    <definedName name="BEx75OHUDAC9RZDLL9L4I1L7VQ21" localSheetId="18" hidden="1">'[38]10.08.4 -2008 Capital'!#REF!</definedName>
    <definedName name="BEx75OHUDAC9RZDLL9L4I1L7VQ21" hidden="1">'[38]10.08.4 -2008 Capital'!#REF!</definedName>
    <definedName name="BEx75PZT8TY5P13U978NVBUXKHT4" localSheetId="18" hidden="1">#REF!</definedName>
    <definedName name="BEx75PZT8TY5P13U978NVBUXKHT4" hidden="1">#REF!</definedName>
    <definedName name="BEx75T55F7GML8V1DMWL26WRT006" localSheetId="18" hidden="1">#REF!</definedName>
    <definedName name="BEx75T55F7GML8V1DMWL26WRT006" hidden="1">#REF!</definedName>
    <definedName name="BEx75VJGR07JY6UUWURQ4PJ29UKC" localSheetId="18" hidden="1">#REF!</definedName>
    <definedName name="BEx75VJGR07JY6UUWURQ4PJ29UKC" hidden="1">#REF!</definedName>
    <definedName name="BEx7696C3JFS7JTBL4CH2YB4GLHQ" localSheetId="18" hidden="1">#REF!</definedName>
    <definedName name="BEx7696C3JFS7JTBL4CH2YB4GLHQ" hidden="1">#REF!</definedName>
    <definedName name="BEx76F0MJW2PS2LZH14RJZO14ARD" localSheetId="18" hidden="1">'[38]10.08.5 - 2008 Capital - TDBU'!#REF!</definedName>
    <definedName name="BEx76F0MJW2PS2LZH14RJZO14ARD" hidden="1">'[38]10.08.5 - 2008 Capital - TDBU'!#REF!</definedName>
    <definedName name="BEx7741OUGLA0WJQLQRUJSL4DE00" localSheetId="18" hidden="1">#REF!</definedName>
    <definedName name="BEx7741OUGLA0WJQLQRUJSL4DE00" hidden="1">#REF!</definedName>
    <definedName name="BEx774N83DXLJZ54Q42PWIJZ2DN1" localSheetId="18" hidden="1">#REF!</definedName>
    <definedName name="BEx774N83DXLJZ54Q42PWIJZ2DN1" hidden="1">#REF!</definedName>
    <definedName name="BEx779QNIY3061ZV9BR462WKEGRW" localSheetId="18" hidden="1">#REF!</definedName>
    <definedName name="BEx779QNIY3061ZV9BR462WKEGRW" hidden="1">#REF!</definedName>
    <definedName name="BEx77G19QU9A95CNHE6QMVSQR2T3" localSheetId="18" hidden="1">#REF!</definedName>
    <definedName name="BEx77G19QU9A95CNHE6QMVSQR2T3" hidden="1">#REF!</definedName>
    <definedName name="BEx77NIZM6XEWOV6EXQU2UG5MSUR" localSheetId="18" hidden="1">'[38]10.08.5 - 2008 Capital - TDBU'!#REF!</definedName>
    <definedName name="BEx77NIZM6XEWOV6EXQU2UG5MSUR" hidden="1">'[38]10.08.5 - 2008 Capital - TDBU'!#REF!</definedName>
    <definedName name="BEx77P0S3GVMS7BJUL9OWUGJ1B02" localSheetId="18" hidden="1">#REF!</definedName>
    <definedName name="BEx77P0S3GVMS7BJUL9OWUGJ1B02" hidden="1">#REF!</definedName>
    <definedName name="BEx77P69SYJJ2S37W7MAD4IWKUO4" localSheetId="18" hidden="1">#REF!</definedName>
    <definedName name="BEx77P69SYJJ2S37W7MAD4IWKUO4" hidden="1">#REF!</definedName>
    <definedName name="BEx77QDESURI6WW5582YXSK3A972" localSheetId="18" hidden="1">#REF!</definedName>
    <definedName name="BEx77QDESURI6WW5582YXSK3A972" hidden="1">#REF!</definedName>
    <definedName name="BEx77U9O8O8ZI1JB5ZFCC25C06DJ" localSheetId="18" hidden="1">#REF!</definedName>
    <definedName name="BEx77U9O8O8ZI1JB5ZFCC25C06DJ" hidden="1">#REF!</definedName>
    <definedName name="BEx77VBI9XOPFHKEWU5EHQ9J675Y" localSheetId="18" hidden="1">#REF!</definedName>
    <definedName name="BEx77VBI9XOPFHKEWU5EHQ9J675Y" hidden="1">#REF!</definedName>
    <definedName name="BEx7809GQOCLHSNH95VOYIX7P1TV" localSheetId="18" hidden="1">#REF!</definedName>
    <definedName name="BEx7809GQOCLHSNH95VOYIX7P1TV" hidden="1">#REF!</definedName>
    <definedName name="BEx780K8XAXUHGVZGZWQ74DK4CI3" localSheetId="18" hidden="1">#REF!</definedName>
    <definedName name="BEx780K8XAXUHGVZGZWQ74DK4CI3" hidden="1">#REF!</definedName>
    <definedName name="BEx78226TN58UE0CTY98YEDU0LSL" localSheetId="18" hidden="1">#REF!</definedName>
    <definedName name="BEx78226TN58UE0CTY98YEDU0LSL" hidden="1">#REF!</definedName>
    <definedName name="BEx787GF57Y7X323F3OTRWSGH7HZ" localSheetId="18" hidden="1">#REF!</definedName>
    <definedName name="BEx787GF57Y7X323F3OTRWSGH7HZ" hidden="1">#REF!</definedName>
    <definedName name="BEx7881ZZBWHRAX6W2GY19J8MGEQ" localSheetId="18" hidden="1">#REF!</definedName>
    <definedName name="BEx7881ZZBWHRAX6W2GY19J8MGEQ" hidden="1">#REF!</definedName>
    <definedName name="BEx78HHRIWDLHQX2LG0HWFRYEL1T" localSheetId="18" hidden="1">#REF!</definedName>
    <definedName name="BEx78HHRIWDLHQX2LG0HWFRYEL1T" hidden="1">#REF!</definedName>
    <definedName name="BEx78LE2GHJ4PVWT3ULLA2J3TY1V" localSheetId="18" hidden="1">#REF!</definedName>
    <definedName name="BEx78LE2GHJ4PVWT3ULLA2J3TY1V" hidden="1">#REF!</definedName>
    <definedName name="BEx78QMXZ2P1ZB3HJ9O50DWHCMXR" localSheetId="18" hidden="1">#REF!</definedName>
    <definedName name="BEx78QMXZ2P1ZB3HJ9O50DWHCMXR" hidden="1">#REF!</definedName>
    <definedName name="BEx78SFO5VR28677DWZEMDN7G86X" localSheetId="18" hidden="1">#REF!</definedName>
    <definedName name="BEx78SFO5VR28677DWZEMDN7G86X" hidden="1">#REF!</definedName>
    <definedName name="BEx78SFOYH1Z0ZDTO47W2M60TW6K" localSheetId="18" hidden="1">#REF!</definedName>
    <definedName name="BEx78SFOYH1Z0ZDTO47W2M60TW6K" hidden="1">#REF!</definedName>
    <definedName name="BEx79APUP133FLMIO8AZJFIIYD1L" localSheetId="18" hidden="1">#REF!</definedName>
    <definedName name="BEx79APUP133FLMIO8AZJFIIYD1L" hidden="1">#REF!</definedName>
    <definedName name="BEx79JK3E6JO8MX4O35A5G8NZCC8" localSheetId="18" hidden="1">#REF!</definedName>
    <definedName name="BEx79JK3E6JO8MX4O35A5G8NZCC8" hidden="1">#REF!</definedName>
    <definedName name="BEx79OCP4HQ6XP8EWNGEUDLOZBBS" localSheetId="18" hidden="1">#REF!</definedName>
    <definedName name="BEx79OCP4HQ6XP8EWNGEUDLOZBBS" hidden="1">#REF!</definedName>
    <definedName name="BEx79SEAYKUZB0H4LYBCD6WWJBG2" localSheetId="18" hidden="1">#REF!</definedName>
    <definedName name="BEx79SEAYKUZB0H4LYBCD6WWJBG2" hidden="1">#REF!</definedName>
    <definedName name="BEx79SJRHTLS9PYM69O9BWW1FMJK" localSheetId="18" hidden="1">#REF!</definedName>
    <definedName name="BEx79SJRHTLS9PYM69O9BWW1FMJK" hidden="1">#REF!</definedName>
    <definedName name="BEx79YJJLBELICW9F9FRYSCQ101L" localSheetId="18" hidden="1">#REF!</definedName>
    <definedName name="BEx79YJJLBELICW9F9FRYSCQ101L" hidden="1">#REF!</definedName>
    <definedName name="BEx79YUC7B0V77FSBGIRCY1BR4VK" localSheetId="18" hidden="1">#REF!</definedName>
    <definedName name="BEx79YUC7B0V77FSBGIRCY1BR4VK" hidden="1">#REF!</definedName>
    <definedName name="BEx7A06T3RC2891FUX05G3QPRAUE" localSheetId="18" hidden="1">#REF!</definedName>
    <definedName name="BEx7A06T3RC2891FUX05G3QPRAUE" hidden="1">#REF!</definedName>
    <definedName name="BEx7A18OPKC61FNESSBTAXMF8AW7" localSheetId="18" hidden="1">#REF!</definedName>
    <definedName name="BEx7A18OPKC61FNESSBTAXMF8AW7" hidden="1">#REF!</definedName>
    <definedName name="BEx7A1DZ3ACKTQDO9ELXW44GL8Y2" localSheetId="18" hidden="1">'[38]10.08.4 -2008 Capital'!#REF!</definedName>
    <definedName name="BEx7A1DZ3ACKTQDO9ELXW44GL8Y2" hidden="1">'[38]10.08.4 -2008 Capital'!#REF!</definedName>
    <definedName name="BEx7A7DRZSSF2EG6JQH27X93U90I" localSheetId="18" hidden="1">#REF!</definedName>
    <definedName name="BEx7A7DRZSSF2EG6JQH27X93U90I" hidden="1">#REF!</definedName>
    <definedName name="BEx7A9S3JA1X7FH4CFSQLTZC4691" localSheetId="18" hidden="1">#REF!</definedName>
    <definedName name="BEx7A9S3JA1X7FH4CFSQLTZC4691" hidden="1">#REF!</definedName>
    <definedName name="BEx7ABA2C9IWH5VSLVLLLCY62161" localSheetId="18" hidden="1">#REF!</definedName>
    <definedName name="BEx7ABA2C9IWH5VSLVLLLCY62161" hidden="1">#REF!</definedName>
    <definedName name="BEx7AE4LPLX8N85BYB0WCO5S7ZPV" localSheetId="18" hidden="1">#REF!</definedName>
    <definedName name="BEx7AE4LPLX8N85BYB0WCO5S7ZPV" hidden="1">#REF!</definedName>
    <definedName name="BEx7AJ81S7N0ZOX5HWUXTT04D8KK" localSheetId="18" hidden="1">'[38]10.08.5 - 2008 Capital - TDBU'!#REF!</definedName>
    <definedName name="BEx7AJ81S7N0ZOX5HWUXTT04D8KK" hidden="1">'[38]10.08.5 - 2008 Capital - TDBU'!#REF!</definedName>
    <definedName name="BEx7AQKAXA50BVHLEWZFVHEFM6BR" localSheetId="18" hidden="1">#REF!</definedName>
    <definedName name="BEx7AQKAXA50BVHLEWZFVHEFM6BR" hidden="1">#REF!</definedName>
    <definedName name="BEx7ASD1I654MEDCO6GGWA95PXSC" localSheetId="18" hidden="1">#REF!</definedName>
    <definedName name="BEx7ASD1I654MEDCO6GGWA95PXSC" hidden="1">#REF!</definedName>
    <definedName name="BEx7AVCX9S5RJP3NSZ4QM4E6ERDT" localSheetId="18" hidden="1">#REF!</definedName>
    <definedName name="BEx7AVCX9S5RJP3NSZ4QM4E6ERDT" hidden="1">#REF!</definedName>
    <definedName name="BEx7AVT704ZMAOMB9JGPZ6LXHSQG" localSheetId="18" hidden="1">#REF!</definedName>
    <definedName name="BEx7AVT704ZMAOMB9JGPZ6LXHSQG" hidden="1">#REF!</definedName>
    <definedName name="BEx7AVYIGP0930MV5JEBWRYCJN68" localSheetId="18" hidden="1">#REF!</definedName>
    <definedName name="BEx7AVYIGP0930MV5JEBWRYCJN68" hidden="1">#REF!</definedName>
    <definedName name="BEx7B6LH6917TXOSAAQ6U7HVF018" localSheetId="18" hidden="1">#REF!</definedName>
    <definedName name="BEx7B6LH6917TXOSAAQ6U7HVF018" hidden="1">#REF!</definedName>
    <definedName name="BEx7BPXFZXJ79FQ0E8AQE21PGVHA" localSheetId="18" hidden="1">#REF!</definedName>
    <definedName name="BEx7BPXFZXJ79FQ0E8AQE21PGVHA" hidden="1">#REF!</definedName>
    <definedName name="BEx7C04AM39DQMC1TIX7CFZ2ADHX" localSheetId="18" hidden="1">#REF!</definedName>
    <definedName name="BEx7C04AM39DQMC1TIX7CFZ2ADHX" hidden="1">#REF!</definedName>
    <definedName name="BEx7C1RKPVBM823KIGN85C8NOGLB" localSheetId="18" hidden="1">#REF!</definedName>
    <definedName name="BEx7C1RKPVBM823KIGN85C8NOGLB" hidden="1">#REF!</definedName>
    <definedName name="BEx7C40F0PQURHPI6YQ39NFIR86Z" localSheetId="18" hidden="1">#REF!</definedName>
    <definedName name="BEx7C40F0PQURHPI6YQ39NFIR86Z" hidden="1">#REF!</definedName>
    <definedName name="BEx7C93VR7SYRIJS1JO8YZKSFAW9" localSheetId="18" hidden="1">#REF!</definedName>
    <definedName name="BEx7C93VR7SYRIJS1JO8YZKSFAW9" hidden="1">#REF!</definedName>
    <definedName name="BEx7CCPC6R1KQQZ2JQU6EFI1G0RM" localSheetId="18" hidden="1">#REF!</definedName>
    <definedName name="BEx7CCPC6R1KQQZ2JQU6EFI1G0RM" hidden="1">#REF!</definedName>
    <definedName name="BEx7CDAXF5MHW62MV0JHIEM92MPI" localSheetId="18" hidden="1">#REF!</definedName>
    <definedName name="BEx7CDAXF5MHW62MV0JHIEM92MPI" hidden="1">#REF!</definedName>
    <definedName name="BEx7CIJST9GLS2QD383UK7VUDTGL" localSheetId="18" hidden="1">#REF!</definedName>
    <definedName name="BEx7CIJST9GLS2QD383UK7VUDTGL" hidden="1">#REF!</definedName>
    <definedName name="BEx7CN1OPV8F04BRSJJSWFTXJAD5" localSheetId="18" hidden="1">#REF!</definedName>
    <definedName name="BEx7CN1OPV8F04BRSJJSWFTXJAD5" hidden="1">#REF!</definedName>
    <definedName name="BEx7CO8T2XKC7GHDSYNAWTZ9L7YR" localSheetId="18" hidden="1">#REF!</definedName>
    <definedName name="BEx7CO8T2XKC7GHDSYNAWTZ9L7YR" hidden="1">#REF!</definedName>
    <definedName name="BEx7CW1CF00DO8A36UNC2X7K65C2" localSheetId="18" hidden="1">#REF!</definedName>
    <definedName name="BEx7CW1CF00DO8A36UNC2X7K65C2" hidden="1">#REF!</definedName>
    <definedName name="BEx7CW6NFRL2P4XWP0MWHIYA97KF" localSheetId="18" hidden="1">#REF!</definedName>
    <definedName name="BEx7CW6NFRL2P4XWP0MWHIYA97KF" hidden="1">#REF!</definedName>
    <definedName name="BEx7D5RWKRS4W71J4NZ6ZSFHPKFT" localSheetId="18" hidden="1">#REF!</definedName>
    <definedName name="BEx7D5RWKRS4W71J4NZ6ZSFHPKFT" hidden="1">#REF!</definedName>
    <definedName name="BEx7D8H1TPOX1UN17QZYEV7Q58GA" localSheetId="18" hidden="1">#REF!</definedName>
    <definedName name="BEx7D8H1TPOX1UN17QZYEV7Q58GA" hidden="1">#REF!</definedName>
    <definedName name="BEx7DGF13H2074LRWFZQ45PZ6JPX" localSheetId="18" hidden="1">#REF!</definedName>
    <definedName name="BEx7DGF13H2074LRWFZQ45PZ6JPX" hidden="1">#REF!</definedName>
    <definedName name="BEx7DKWUXEDIISSX4GDD4YYT887F" localSheetId="18" hidden="1">#REF!</definedName>
    <definedName name="BEx7DKWUXEDIISSX4GDD4YYT887F" hidden="1">#REF!</definedName>
    <definedName name="BEx7DMUYR2HC26WW7AOB1TULERMB" localSheetId="18" hidden="1">#REF!</definedName>
    <definedName name="BEx7DMUYR2HC26WW7AOB1TULERMB" hidden="1">#REF!</definedName>
    <definedName name="BEx7DVJTRV44IMJIBFXELE67SZ7S" localSheetId="18" hidden="1">#REF!</definedName>
    <definedName name="BEx7DVJTRV44IMJIBFXELE67SZ7S" hidden="1">#REF!</definedName>
    <definedName name="BEx7DVUMFCI5INHMVFIJ44RTTSTT" localSheetId="18" hidden="1">#REF!</definedName>
    <definedName name="BEx7DVUMFCI5INHMVFIJ44RTTSTT" hidden="1">#REF!</definedName>
    <definedName name="BEx7E2QSW841R32GCRO0M9X6GW5L" localSheetId="18" hidden="1">#REF!</definedName>
    <definedName name="BEx7E2QSW841R32GCRO0M9X6GW5L" hidden="1">#REF!</definedName>
    <definedName name="BEx7E2QT2U8THYOKBPXONB1B47WH" localSheetId="18" hidden="1">#REF!</definedName>
    <definedName name="BEx7E2QT2U8THYOKBPXONB1B47WH" hidden="1">#REF!</definedName>
    <definedName name="BEx7E5QP7W6UKO74F5Y0VJ741HS5" localSheetId="18" hidden="1">#REF!</definedName>
    <definedName name="BEx7E5QP7W6UKO74F5Y0VJ741HS5" hidden="1">#REF!</definedName>
    <definedName name="BEx7E6N29HGH3I47AFB2DCS6MVS6" localSheetId="18" hidden="1">#REF!</definedName>
    <definedName name="BEx7E6N29HGH3I47AFB2DCS6MVS6" hidden="1">#REF!</definedName>
    <definedName name="BEx7EBA8IYHQKT7IQAOAML660SYA" localSheetId="18" hidden="1">#REF!</definedName>
    <definedName name="BEx7EBA8IYHQKT7IQAOAML660SYA" hidden="1">#REF!</definedName>
    <definedName name="BEx7EI6C8MCRZFEQYUBE5FSUTIHK" localSheetId="18" hidden="1">#REF!</definedName>
    <definedName name="BEx7EI6C8MCRZFEQYUBE5FSUTIHK" hidden="1">#REF!</definedName>
    <definedName name="BEx7EI6DL1Z6UWLFBXAKVGZTKHWJ" localSheetId="18" hidden="1">#REF!</definedName>
    <definedName name="BEx7EI6DL1Z6UWLFBXAKVGZTKHWJ" hidden="1">#REF!</definedName>
    <definedName name="BEx7EQKHX7GZYOLXRDU534TT4H64" localSheetId="18" hidden="1">#REF!</definedName>
    <definedName name="BEx7EQKHX7GZYOLXRDU534TT4H64" hidden="1">#REF!</definedName>
    <definedName name="BEx7ETV6L1TM7JSXJIGK3FC6RVZW" localSheetId="18" hidden="1">#REF!</definedName>
    <definedName name="BEx7ETV6L1TM7JSXJIGK3FC6RVZW" hidden="1">#REF!</definedName>
    <definedName name="BEx7EV2C287ME9PQ0FIM5QWZ3O9K" localSheetId="18" hidden="1">#REF!</definedName>
    <definedName name="BEx7EV2C287ME9PQ0FIM5QWZ3O9K" hidden="1">#REF!</definedName>
    <definedName name="BEx7EWK9GUVV6FXWYIGH0TAI4V2O" localSheetId="18" hidden="1">#REF!</definedName>
    <definedName name="BEx7EWK9GUVV6FXWYIGH0TAI4V2O" hidden="1">#REF!</definedName>
    <definedName name="BEx7EYYLHMBYQTH6I377FCQS7CSX" localSheetId="18" hidden="1">#REF!</definedName>
    <definedName name="BEx7EYYLHMBYQTH6I377FCQS7CSX" hidden="1">#REF!</definedName>
    <definedName name="BEx7F3R8WBC6E9U65SYE1VCBPKTN" localSheetId="18" hidden="1">#REF!</definedName>
    <definedName name="BEx7F3R8WBC6E9U65SYE1VCBPKTN" hidden="1">#REF!</definedName>
    <definedName name="BEx7FCLG1RYI2SNOU1Y2GQZNZSWA" localSheetId="18" hidden="1">#REF!</definedName>
    <definedName name="BEx7FCLG1RYI2SNOU1Y2GQZNZSWA" hidden="1">#REF!</definedName>
    <definedName name="BEx7FN32ZGWOAA4TTH79KINTDWR9" localSheetId="18" hidden="1">#REF!</definedName>
    <definedName name="BEx7FN32ZGWOAA4TTH79KINTDWR9" hidden="1">#REF!</definedName>
    <definedName name="BEx7G0F5491O5LOO00O1AXXAE24R" localSheetId="18" hidden="1">#REF!</definedName>
    <definedName name="BEx7G0F5491O5LOO00O1AXXAE24R" hidden="1">#REF!</definedName>
    <definedName name="BEx7G82CKM3NIY1PHNFK28M09PCH" localSheetId="18" hidden="1">#REF!</definedName>
    <definedName name="BEx7G82CKM3NIY1PHNFK28M09PCH" hidden="1">#REF!</definedName>
    <definedName name="BEx7GR3ENYWRXXS5IT0UMEGOLGUH" localSheetId="18" hidden="1">#REF!</definedName>
    <definedName name="BEx7GR3ENYWRXXS5IT0UMEGOLGUH" hidden="1">#REF!</definedName>
    <definedName name="BEx7GSAL6P7TASL8MB63RFST1LJL" localSheetId="18" hidden="1">#REF!</definedName>
    <definedName name="BEx7GSAL6P7TASL8MB63RFST1LJL" hidden="1">#REF!</definedName>
    <definedName name="BEx7H0JCP7ZU8M0UWQXEBQ8U7WXG" localSheetId="18" hidden="1">#REF!</definedName>
    <definedName name="BEx7H0JCP7ZU8M0UWQXEBQ8U7WXG" hidden="1">#REF!</definedName>
    <definedName name="BEx7H0JD6I5I8WQLLWOYWY5YWPQE" localSheetId="18" hidden="1">#REF!</definedName>
    <definedName name="BEx7H0JD6I5I8WQLLWOYWY5YWPQE" hidden="1">#REF!</definedName>
    <definedName name="BEx7H14XCXH7WEXEY1HVO53A6AGH" localSheetId="18" hidden="1">#REF!</definedName>
    <definedName name="BEx7H14XCXH7WEXEY1HVO53A6AGH" hidden="1">#REF!</definedName>
    <definedName name="BEx7HFTIA8AC8BR8HKIN81VE1SGW" localSheetId="18" hidden="1">#REF!</definedName>
    <definedName name="BEx7HFTIA8AC8BR8HKIN81VE1SGW" hidden="1">#REF!</definedName>
    <definedName name="BEx7HGVBEF4LEIF6RC14N3PSU461" localSheetId="18" hidden="1">#REF!</definedName>
    <definedName name="BEx7HGVBEF4LEIF6RC14N3PSU461" hidden="1">#REF!</definedName>
    <definedName name="BEx7HNM5QUG90PN1J2VL176TH6KY" localSheetId="18" hidden="1">#REF!</definedName>
    <definedName name="BEx7HNM5QUG90PN1J2VL176TH6KY" hidden="1">#REF!</definedName>
    <definedName name="BEx7HQ5T9FZ42QWS09UO4DT42Y0R" localSheetId="18" hidden="1">#REF!</definedName>
    <definedName name="BEx7HQ5T9FZ42QWS09UO4DT42Y0R" hidden="1">#REF!</definedName>
    <definedName name="BEx7HRCZE3CVGON1HV07MT5MNDZ3" localSheetId="18" hidden="1">#REF!</definedName>
    <definedName name="BEx7HRCZE3CVGON1HV07MT5MNDZ3" hidden="1">#REF!</definedName>
    <definedName name="BEx7HWGE2CANG5M17X4C8YNC3N8F" localSheetId="18" hidden="1">#REF!</definedName>
    <definedName name="BEx7HWGE2CANG5M17X4C8YNC3N8F" hidden="1">#REF!</definedName>
    <definedName name="BEx7I8FZ96C5JAHXS18ZV0912LZP" localSheetId="18" hidden="1">#REF!</definedName>
    <definedName name="BEx7I8FZ96C5JAHXS18ZV0912LZP" hidden="1">#REF!</definedName>
    <definedName name="BEx7IBVYN47SFZIA0K4MDKQZNN9V" localSheetId="18" hidden="1">#REF!</definedName>
    <definedName name="BEx7IBVYN47SFZIA0K4MDKQZNN9V" hidden="1">#REF!</definedName>
    <definedName name="BEx7IJOI6V63WKXYU6YTHPHUSP7U" localSheetId="18" hidden="1">#REF!</definedName>
    <definedName name="BEx7IJOI6V63WKXYU6YTHPHUSP7U" hidden="1">#REF!</definedName>
    <definedName name="BEx7IRRUY5JMPVVS2G8ZTVLVF9H8" localSheetId="18" hidden="1">#REF!</definedName>
    <definedName name="BEx7IRRUY5JMPVVS2G8ZTVLVF9H8" hidden="1">#REF!</definedName>
    <definedName name="BEx7IV2IJ5WT7UC0UG7WP0WF2JZI" localSheetId="18" hidden="1">#REF!</definedName>
    <definedName name="BEx7IV2IJ5WT7UC0UG7WP0WF2JZI" hidden="1">#REF!</definedName>
    <definedName name="BEx7IXGU74GE5E4S6W4Z13AR092Y" localSheetId="18" hidden="1">#REF!</definedName>
    <definedName name="BEx7IXGU74GE5E4S6W4Z13AR092Y" hidden="1">#REF!</definedName>
    <definedName name="BEx7J4YL8Q3BI1MLH16YYQ18IJRD" localSheetId="18" hidden="1">#REF!</definedName>
    <definedName name="BEx7J4YL8Q3BI1MLH16YYQ18IJRD" hidden="1">#REF!</definedName>
    <definedName name="BEx7J7CWKB4WKZAQMK3Z0S9GSOSM" localSheetId="18" hidden="1">#REF!</definedName>
    <definedName name="BEx7J7CWKB4WKZAQMK3Z0S9GSOSM" hidden="1">#REF!</definedName>
    <definedName name="BEx7JH3HGBPI07OHZ5LFYK0UFZQR" localSheetId="18" hidden="1">#REF!</definedName>
    <definedName name="BEx7JH3HGBPI07OHZ5LFYK0UFZQR" hidden="1">#REF!</definedName>
    <definedName name="BEx7JV194190CNM6WWGQ3UBJ3CHH" localSheetId="18" hidden="1">#REF!</definedName>
    <definedName name="BEx7JV194190CNM6WWGQ3UBJ3CHH" hidden="1">#REF!</definedName>
    <definedName name="BEx7JZJ4XFUATU0PG7083JPTXG4K" localSheetId="18" hidden="1">#REF!</definedName>
    <definedName name="BEx7JZJ4XFUATU0PG7083JPTXG4K" hidden="1">#REF!</definedName>
    <definedName name="BEx7K469BHM1J8L2PEX3Z5HEMTCE" localSheetId="18" hidden="1">#REF!</definedName>
    <definedName name="BEx7K469BHM1J8L2PEX3Z5HEMTCE" hidden="1">#REF!</definedName>
    <definedName name="BEx7K7GZ607XQOGB81A1HINBTGOZ" localSheetId="18" hidden="1">#REF!</definedName>
    <definedName name="BEx7K7GZ607XQOGB81A1HINBTGOZ" hidden="1">#REF!</definedName>
    <definedName name="BEx7KEYPBDXSNROH8M6CDCBN6B50" localSheetId="18" hidden="1">#REF!</definedName>
    <definedName name="BEx7KEYPBDXSNROH8M6CDCBN6B50" hidden="1">#REF!</definedName>
    <definedName name="BEx7KMGGB2E6YDRM0M7DPVYH3ADI" localSheetId="18" hidden="1">'[38]10.08.3 - 2008 Expense - TDBU'!#REF!</definedName>
    <definedName name="BEx7KMGGB2E6YDRM0M7DPVYH3ADI" hidden="1">'[38]10.08.3 - 2008 Expense - TDBU'!#REF!</definedName>
    <definedName name="BEx7KR92AZ8OH3I7N51J8AU9LRP3" localSheetId="18" hidden="1">#REF!</definedName>
    <definedName name="BEx7KR92AZ8OH3I7N51J8AU9LRP3" hidden="1">#REF!</definedName>
    <definedName name="BEx7KSAS8BZT6H8OQCZ5DNSTMO07" localSheetId="18" hidden="1">#REF!</definedName>
    <definedName name="BEx7KSAS8BZT6H8OQCZ5DNSTMO07" hidden="1">#REF!</definedName>
    <definedName name="BEx7KWHTBD21COXVI4HNEQH0Z3L8" localSheetId="18" hidden="1">#REF!</definedName>
    <definedName name="BEx7KWHTBD21COXVI4HNEQH0Z3L8" hidden="1">#REF!</definedName>
    <definedName name="BEx7KWY24UYSDR57WCCVR4KEHE7U" localSheetId="18" hidden="1">#REF!</definedName>
    <definedName name="BEx7KWY24UYSDR57WCCVR4KEHE7U" hidden="1">#REF!</definedName>
    <definedName name="BEx7KXUGRMRSUXCM97Z7VRZQ9JH2" localSheetId="18" hidden="1">#REF!</definedName>
    <definedName name="BEx7KXUGRMRSUXCM97Z7VRZQ9JH2" hidden="1">#REF!</definedName>
    <definedName name="BEx7L21IQVP1N1TTQLRMANSSLSLE" localSheetId="18" hidden="1">#REF!</definedName>
    <definedName name="BEx7L21IQVP1N1TTQLRMANSSLSLE" hidden="1">#REF!</definedName>
    <definedName name="BEx7L5C6U8MP6IZ67BD649WQYJEK" localSheetId="18" hidden="1">#REF!</definedName>
    <definedName name="BEx7L5C6U8MP6IZ67BD649WQYJEK" hidden="1">#REF!</definedName>
    <definedName name="BEx7L7QID2UUN1F4435LIWAW8DV3" localSheetId="18" hidden="1">#REF!</definedName>
    <definedName name="BEx7L7QID2UUN1F4435LIWAW8DV3" hidden="1">#REF!</definedName>
    <definedName name="BEx7L8HEYEVTATR0OG5JJO647KNI" localSheetId="18" hidden="1">#REF!</definedName>
    <definedName name="BEx7L8HEYEVTATR0OG5JJO647KNI" hidden="1">#REF!</definedName>
    <definedName name="BEx7L8XOV64OMS15ZFURFEUXLMWF" localSheetId="18" hidden="1">#REF!</definedName>
    <definedName name="BEx7L8XOV64OMS15ZFURFEUXLMWF" hidden="1">#REF!</definedName>
    <definedName name="BEx7LJVFQACL9F4DRS9YZQ9R2N30" localSheetId="18" hidden="1">#REF!</definedName>
    <definedName name="BEx7LJVFQACL9F4DRS9YZQ9R2N30" hidden="1">#REF!</definedName>
    <definedName name="BEx7LZ0D7JSY0VK5FBGMZE26ZKFJ" localSheetId="18" hidden="1">'[38]10.08.2 - 2008 Expense'!#REF!</definedName>
    <definedName name="BEx7LZ0D7JSY0VK5FBGMZE26ZKFJ" hidden="1">'[38]10.08.2 - 2008 Expense'!#REF!</definedName>
    <definedName name="BEx7MAUI1JJFDIJGDW4RWY5384LY" localSheetId="18" hidden="1">#REF!</definedName>
    <definedName name="BEx7MAUI1JJFDIJGDW4RWY5384LY" hidden="1">#REF!</definedName>
    <definedName name="BEx7MJZO3UKAMJ53UWOJ5ZD4GGMQ" localSheetId="18" hidden="1">#REF!</definedName>
    <definedName name="BEx7MJZO3UKAMJ53UWOJ5ZD4GGMQ" hidden="1">#REF!</definedName>
    <definedName name="BEx7MQ4RBQK32VUVPFRBYN76KSOD" localSheetId="18" hidden="1">#REF!</definedName>
    <definedName name="BEx7MQ4RBQK32VUVPFRBYN76KSOD" hidden="1">#REF!</definedName>
    <definedName name="BEx7MT4MFNXIVQGAT6D971GZW7CA" localSheetId="18" hidden="1">#REF!</definedName>
    <definedName name="BEx7MT4MFNXIVQGAT6D971GZW7CA" hidden="1">#REF!</definedName>
    <definedName name="BEx7NE3X8Z6J8PMTHDO51G0HICD5" localSheetId="18" hidden="1">#REF!</definedName>
    <definedName name="BEx7NE3X8Z6J8PMTHDO51G0HICD5" hidden="1">#REF!</definedName>
    <definedName name="BEx7NI062THZAM6I8AJWTFJL91CS" localSheetId="18" hidden="1">#REF!</definedName>
    <definedName name="BEx7NI062THZAM6I8AJWTFJL91CS" hidden="1">#REF!</definedName>
    <definedName name="BEx8Z3M9Z5VD3MZ8TD1F5M49MOTD" localSheetId="18" hidden="1">#REF!</definedName>
    <definedName name="BEx8Z3M9Z5VD3MZ8TD1F5M49MOTD" hidden="1">#REF!</definedName>
    <definedName name="BEx8ZCWSI30U7NSNHLBK5HV2J2EN" localSheetId="18" hidden="1">#REF!</definedName>
    <definedName name="BEx8ZCWSI30U7NSNHLBK5HV2J2EN" hidden="1">#REF!</definedName>
    <definedName name="BEx904S75BPRYMHF0083JF7ES4NG" localSheetId="18" hidden="1">#REF!</definedName>
    <definedName name="BEx904S75BPRYMHF0083JF7ES4NG" hidden="1">#REF!</definedName>
    <definedName name="BEx90EZ2HAURBQ5I4V6WD6NYD0AQ" localSheetId="18" hidden="1">#REF!</definedName>
    <definedName name="BEx90EZ2HAURBQ5I4V6WD6NYD0AQ" hidden="1">#REF!</definedName>
    <definedName name="BEx90H2KA91ZVRIJCDN62HJVKQWC" localSheetId="18" hidden="1">#REF!</definedName>
    <definedName name="BEx90H2KA91ZVRIJCDN62HJVKQWC" hidden="1">#REF!</definedName>
    <definedName name="BEx90HDD4RWF7JZGA8GCGG7D63MG" localSheetId="18" hidden="1">#REF!</definedName>
    <definedName name="BEx90HDD4RWF7JZGA8GCGG7D63MG" hidden="1">#REF!</definedName>
    <definedName name="BEx90VGH5H09ON2QXYC9WIIEU98T" localSheetId="18" hidden="1">#REF!</definedName>
    <definedName name="BEx90VGH5H09ON2QXYC9WIIEU98T" hidden="1">#REF!</definedName>
    <definedName name="BEx911LKH78Q9WUWXLOQFEL59ITN" localSheetId="18" hidden="1">#REF!</definedName>
    <definedName name="BEx911LKH78Q9WUWXLOQFEL59ITN" hidden="1">#REF!</definedName>
    <definedName name="BEx911WE3W1AI7TEJHN5ROFMFVQ8" localSheetId="18" hidden="1">'[38]10.08.3 - 2008 Expense - TDBU'!#REF!</definedName>
    <definedName name="BEx911WE3W1AI7TEJHN5ROFMFVQ8" hidden="1">'[38]10.08.3 - 2008 Expense - TDBU'!#REF!</definedName>
    <definedName name="BEx9175B70QXYAU5A8DJPGZQ46L9" localSheetId="18" hidden="1">#REF!</definedName>
    <definedName name="BEx9175B70QXYAU5A8DJPGZQ46L9" hidden="1">#REF!</definedName>
    <definedName name="BEx917QTZAYKMWFVDPZEDX8FH1J3" localSheetId="18" hidden="1">#REF!</definedName>
    <definedName name="BEx917QTZAYKMWFVDPZEDX8FH1J3" hidden="1">#REF!</definedName>
    <definedName name="BEx91AQQRTV87AO27VWHSFZAD4ZR" localSheetId="18" hidden="1">#REF!</definedName>
    <definedName name="BEx91AQQRTV87AO27VWHSFZAD4ZR" hidden="1">#REF!</definedName>
    <definedName name="BEx91FU57YXJK7RHMFDKKYY2JFS7" localSheetId="18" hidden="1">#REF!</definedName>
    <definedName name="BEx91FU57YXJK7RHMFDKKYY2JFS7" hidden="1">#REF!</definedName>
    <definedName name="BEx91KXLTRYJVT47UU2JUUFNKFUT" localSheetId="18" hidden="1">#REF!</definedName>
    <definedName name="BEx91KXLTRYJVT47UU2JUUFNKFUT" hidden="1">#REF!</definedName>
    <definedName name="BEx91L8FLL5CWLA2CDHKCOMGVDZN" localSheetId="18" hidden="1">#REF!</definedName>
    <definedName name="BEx91L8FLL5CWLA2CDHKCOMGVDZN" hidden="1">#REF!</definedName>
    <definedName name="BEx91OTVH9ZDBC3QTORU8RZX4EOC" localSheetId="18" hidden="1">#REF!</definedName>
    <definedName name="BEx91OTVH9ZDBC3QTORU8RZX4EOC" hidden="1">#REF!</definedName>
    <definedName name="BEx91QH5JRZKQP1GPN2SQMR3CKAG" localSheetId="18" hidden="1">#REF!</definedName>
    <definedName name="BEx91QH5JRZKQP1GPN2SQMR3CKAG" hidden="1">#REF!</definedName>
    <definedName name="BEx91ROALDNHO7FI4X8L61RH4UJE" localSheetId="18" hidden="1">#REF!</definedName>
    <definedName name="BEx91ROALDNHO7FI4X8L61RH4UJE" hidden="1">#REF!</definedName>
    <definedName name="BEx91TMID71GVYH0U16QM1RV3PX0" localSheetId="18" hidden="1">#REF!</definedName>
    <definedName name="BEx91TMID71GVYH0U16QM1RV3PX0" hidden="1">#REF!</definedName>
    <definedName name="BEx91VF2D78PAF337E3L2L81K9W2" localSheetId="18" hidden="1">#REF!</definedName>
    <definedName name="BEx91VF2D78PAF337E3L2L81K9W2" hidden="1">#REF!</definedName>
    <definedName name="BEx920O0C4FBKNO2WASY82KSAGWC" localSheetId="18" hidden="1">#REF!</definedName>
    <definedName name="BEx920O0C4FBKNO2WASY82KSAGWC" hidden="1">#REF!</definedName>
    <definedName name="BEx921PNZ46VORG2VRMWREWIC0SE" localSheetId="18" hidden="1">#REF!</definedName>
    <definedName name="BEx921PNZ46VORG2VRMWREWIC0SE" hidden="1">#REF!</definedName>
    <definedName name="BEx929YGVS1SWUVBOM0JDPJFRIAE" localSheetId="18" hidden="1">#REF!</definedName>
    <definedName name="BEx929YGVS1SWUVBOM0JDPJFRIAE" hidden="1">#REF!</definedName>
    <definedName name="BEx92DPEKL5WM5A3CN8674JI0PR3" localSheetId="18" hidden="1">#REF!</definedName>
    <definedName name="BEx92DPEKL5WM5A3CN8674JI0PR3" hidden="1">#REF!</definedName>
    <definedName name="BEx92ER2RMY93TZK0D9L9T3H0GI5" localSheetId="18" hidden="1">#REF!</definedName>
    <definedName name="BEx92ER2RMY93TZK0D9L9T3H0GI5" hidden="1">#REF!</definedName>
    <definedName name="BEx92FI04PJT4LI23KKIHRXWJDTT" localSheetId="18" hidden="1">#REF!</definedName>
    <definedName name="BEx92FI04PJT4LI23KKIHRXWJDTT" hidden="1">#REF!</definedName>
    <definedName name="BEx92HR14HQ9D5JXCSPA4SS4RT62" localSheetId="18" hidden="1">#REF!</definedName>
    <definedName name="BEx92HR14HQ9D5JXCSPA4SS4RT62" hidden="1">#REF!</definedName>
    <definedName name="BEx92HWA2D6A5EX9MFG68G0NOMSN" localSheetId="18" hidden="1">#REF!</definedName>
    <definedName name="BEx92HWA2D6A5EX9MFG68G0NOMSN" hidden="1">#REF!</definedName>
    <definedName name="BEx92PUBDIXAU1FW5ZAXECMAU0LN" localSheetId="18" hidden="1">#REF!</definedName>
    <definedName name="BEx92PUBDIXAU1FW5ZAXECMAU0LN" hidden="1">#REF!</definedName>
    <definedName name="BEx92S8MHFFIVRQ2YSHZNQGOFUHD" localSheetId="18" hidden="1">#REF!</definedName>
    <definedName name="BEx92S8MHFFIVRQ2YSHZNQGOFUHD" hidden="1">#REF!</definedName>
    <definedName name="BEx9318BWFQZC3NQS37Q6XU3D425" localSheetId="18" hidden="1">#REF!</definedName>
    <definedName name="BEx9318BWFQZC3NQS37Q6XU3D425" hidden="1">#REF!</definedName>
    <definedName name="BEx93B9OULL2YGC896XXYAAJSTRK" localSheetId="18" hidden="1">#REF!</definedName>
    <definedName name="BEx93B9OULL2YGC896XXYAAJSTRK" hidden="1">#REF!</definedName>
    <definedName name="BEx93FRKF99NRT3LH99UTIH7AAYF" localSheetId="18" hidden="1">#REF!</definedName>
    <definedName name="BEx93FRKF99NRT3LH99UTIH7AAYF" hidden="1">#REF!</definedName>
    <definedName name="BEx93M7FSHP50OG34A4W8W8DF12U" localSheetId="18" hidden="1">#REF!</definedName>
    <definedName name="BEx93M7FSHP50OG34A4W8W8DF12U" hidden="1">#REF!</definedName>
    <definedName name="BEx93OLWY2O3PRA74U41VG5RXT4Q" localSheetId="18" hidden="1">#REF!</definedName>
    <definedName name="BEx93OLWY2O3PRA74U41VG5RXT4Q" hidden="1">#REF!</definedName>
    <definedName name="BEx93RWFAF6YJGYUTITVM445C02U" localSheetId="18" hidden="1">#REF!</definedName>
    <definedName name="BEx93RWFAF6YJGYUTITVM445C02U" hidden="1">#REF!</definedName>
    <definedName name="BEx93SY9RWG3HUV4YXQKXJH9FH14" localSheetId="18" hidden="1">#REF!</definedName>
    <definedName name="BEx93SY9RWG3HUV4YXQKXJH9FH14" hidden="1">#REF!</definedName>
    <definedName name="BEx93TJUX3U0FJDBG6DDSNQ91R5J" localSheetId="18" hidden="1">#REF!</definedName>
    <definedName name="BEx93TJUX3U0FJDBG6DDSNQ91R5J" hidden="1">#REF!</definedName>
    <definedName name="BEx941SIC58506DFIGKOLIHQ7KCX" localSheetId="18" hidden="1">#REF!</definedName>
    <definedName name="BEx941SIC58506DFIGKOLIHQ7KCX" hidden="1">#REF!</definedName>
    <definedName name="BEx942UCRHMI4B0US31HO95GSC2X" localSheetId="18" hidden="1">#REF!</definedName>
    <definedName name="BEx942UCRHMI4B0US31HO95GSC2X" hidden="1">#REF!</definedName>
    <definedName name="BEx944SDUSMOBHNE6J8XN1EOL90T" localSheetId="18" hidden="1">#REF!</definedName>
    <definedName name="BEx944SDUSMOBHNE6J8XN1EOL90T" hidden="1">#REF!</definedName>
    <definedName name="BEx948ZFFQWVIDNG4AZAUGGGEB5U" localSheetId="18" hidden="1">#REF!</definedName>
    <definedName name="BEx948ZFFQWVIDNG4AZAUGGGEB5U" hidden="1">#REF!</definedName>
    <definedName name="BEx94CKXG92OMURH41SNU6IOHK4J" localSheetId="18" hidden="1">#REF!</definedName>
    <definedName name="BEx94CKXG92OMURH41SNU6IOHK4J" hidden="1">#REF!</definedName>
    <definedName name="BEx94GXG30CIVB6ZQN3X3IK6BZXQ" localSheetId="18" hidden="1">#REF!</definedName>
    <definedName name="BEx94GXG30CIVB6ZQN3X3IK6BZXQ" hidden="1">#REF!</definedName>
    <definedName name="BEx94HZ5LURYM9ST744ALV6ZCKYP" localSheetId="18" hidden="1">#REF!</definedName>
    <definedName name="BEx94HZ5LURYM9ST744ALV6ZCKYP" hidden="1">#REF!</definedName>
    <definedName name="BEx94IQ75E90YUMWJ9N591LR7DQQ" localSheetId="18" hidden="1">#REF!</definedName>
    <definedName name="BEx94IQ75E90YUMWJ9N591LR7DQQ" hidden="1">#REF!</definedName>
    <definedName name="BEx94L9TBK45AUQSX1IUZ86U1GPQ" localSheetId="18" hidden="1">#REF!</definedName>
    <definedName name="BEx94L9TBK45AUQSX1IUZ86U1GPQ" hidden="1">#REF!</definedName>
    <definedName name="BEx94N7W5T3U7UOE97D6OVIBUCXS" localSheetId="18" hidden="1">#REF!</definedName>
    <definedName name="BEx94N7W5T3U7UOE97D6OVIBUCXS" hidden="1">#REF!</definedName>
    <definedName name="BEx953PB6S6ECMD8N0JSW0CBG0DA" localSheetId="18" hidden="1">#REF!</definedName>
    <definedName name="BEx953PB6S6ECMD8N0JSW0CBG0DA" hidden="1">#REF!</definedName>
    <definedName name="BEx955NIAWX5OLAHMTV6QFUZPR30" localSheetId="18" hidden="1">#REF!</definedName>
    <definedName name="BEx955NIAWX5OLAHMTV6QFUZPR30" hidden="1">#REF!</definedName>
    <definedName name="BEx9581TYVI2M5TT4ISDAJV4W7Z6" localSheetId="18" hidden="1">#REF!</definedName>
    <definedName name="BEx9581TYVI2M5TT4ISDAJV4W7Z6" hidden="1">#REF!</definedName>
    <definedName name="BEx95NHF4RVUE0YDOAFZEIVBYJXD" localSheetId="18" hidden="1">#REF!</definedName>
    <definedName name="BEx95NHF4RVUE0YDOAFZEIVBYJXD" hidden="1">#REF!</definedName>
    <definedName name="BEx95QBZMG0E2KQ9BERJ861QLYN3" localSheetId="18" hidden="1">#REF!</definedName>
    <definedName name="BEx95QBZMG0E2KQ9BERJ861QLYN3" hidden="1">#REF!</definedName>
    <definedName name="BEx95QHBVDN795UNQJLRXG3RDU49" localSheetId="18" hidden="1">#REF!</definedName>
    <definedName name="BEx95QHBVDN795UNQJLRXG3RDU49" hidden="1">#REF!</definedName>
    <definedName name="BEx95TBVUWV7L7OMFMZDQEXGVHU6" localSheetId="18" hidden="1">#REF!</definedName>
    <definedName name="BEx95TBVUWV7L7OMFMZDQEXGVHU6" hidden="1">#REF!</definedName>
    <definedName name="BEx95TXH048JPPZ7VXKTCAEE6GQS" localSheetId="18" hidden="1">#REF!</definedName>
    <definedName name="BEx95TXH048JPPZ7VXKTCAEE6GQS" hidden="1">#REF!</definedName>
    <definedName name="BEx95U89DZZSVO39TGS62CX8G9N4" localSheetId="18" hidden="1">#REF!</definedName>
    <definedName name="BEx95U89DZZSVO39TGS62CX8G9N4" hidden="1">#REF!</definedName>
    <definedName name="BEx9602K2GHNBUEUVT9ONRQU1GMD" localSheetId="18" hidden="1">#REF!</definedName>
    <definedName name="BEx9602K2GHNBUEUVT9ONRQU1GMD" hidden="1">#REF!</definedName>
    <definedName name="BEx962BL3Y4LA53EBYI64ZYMZE8U" localSheetId="18" hidden="1">#REF!</definedName>
    <definedName name="BEx962BL3Y4LA53EBYI64ZYMZE8U" hidden="1">#REF!</definedName>
    <definedName name="BEx96KR21O7H9R29TN0S45Y3QPUK" localSheetId="18" hidden="1">#REF!</definedName>
    <definedName name="BEx96KR21O7H9R29TN0S45Y3QPUK" hidden="1">#REF!</definedName>
    <definedName name="BEx96KWJ7BHXX4IIM048C3O7S59S" localSheetId="18" hidden="1">'[38]10.08.5 - 2008 Capital - TDBU'!#REF!</definedName>
    <definedName name="BEx96KWJ7BHXX4IIM048C3O7S59S" hidden="1">'[38]10.08.5 - 2008 Capital - TDBU'!#REF!</definedName>
    <definedName name="BEx96SUFKHHFE8XQ6UUO6ILDOXHO" localSheetId="18" hidden="1">#REF!</definedName>
    <definedName name="BEx96SUFKHHFE8XQ6UUO6ILDOXHO" hidden="1">#REF!</definedName>
    <definedName name="BEx96UN4YWXBDEZ1U1ZUIPP41Z7I" localSheetId="18" hidden="1">#REF!</definedName>
    <definedName name="BEx96UN4YWXBDEZ1U1ZUIPP41Z7I" hidden="1">#REF!</definedName>
    <definedName name="BEx970MYCPJ6DQ44TKLOIGZO5LHH" localSheetId="18" hidden="1">#REF!</definedName>
    <definedName name="BEx970MYCPJ6DQ44TKLOIGZO5LHH" hidden="1">#REF!</definedName>
    <definedName name="BEx978KSD61YJH3S9DGO050R2EHA" localSheetId="18" hidden="1">#REF!</definedName>
    <definedName name="BEx978KSD61YJH3S9DGO050R2EHA" hidden="1">#REF!</definedName>
    <definedName name="BEx97CBOZZVIAFCLYWXO84QIM5RH" localSheetId="18" hidden="1">#REF!</definedName>
    <definedName name="BEx97CBOZZVIAFCLYWXO84QIM5RH" hidden="1">#REF!</definedName>
    <definedName name="BEx97H9O1NAKAPK4MX4PKO34ICL5" localSheetId="18" hidden="1">#REF!</definedName>
    <definedName name="BEx97H9O1NAKAPK4MX4PKO34ICL5" hidden="1">#REF!</definedName>
    <definedName name="BEx97HVA5F2I0D6ID81KCUDEQOIH" localSheetId="18" hidden="1">#REF!</definedName>
    <definedName name="BEx97HVA5F2I0D6ID81KCUDEQOIH" hidden="1">#REF!</definedName>
    <definedName name="BEx97MNUZQ1Z0AO2FL7XQYVNCPR7" localSheetId="18" hidden="1">#REF!</definedName>
    <definedName name="BEx97MNUZQ1Z0AO2FL7XQYVNCPR7" hidden="1">#REF!</definedName>
    <definedName name="BEx97NPQBACJVD9K1YXI08RTW9E2" localSheetId="18" hidden="1">#REF!</definedName>
    <definedName name="BEx97NPQBACJVD9K1YXI08RTW9E2" hidden="1">#REF!</definedName>
    <definedName name="BEx97RWQLXS0OORDCN69IGA58CWU" localSheetId="18" hidden="1">#REF!</definedName>
    <definedName name="BEx97RWQLXS0OORDCN69IGA58CWU" hidden="1">#REF!</definedName>
    <definedName name="BEx97YNGGDFIXHTMGFL2IHAQX9MI" localSheetId="18" hidden="1">#REF!</definedName>
    <definedName name="BEx97YNGGDFIXHTMGFL2IHAQX9MI" hidden="1">#REF!</definedName>
    <definedName name="BEx980QZQVMVK22H7FW8VJ1Y8HJR" localSheetId="18" hidden="1">#REF!</definedName>
    <definedName name="BEx980QZQVMVK22H7FW8VJ1Y8HJR" hidden="1">#REF!</definedName>
    <definedName name="BEx981HW73BUZWT14TBTZHC0ZTJ4" localSheetId="18" hidden="1">#REF!</definedName>
    <definedName name="BEx981HW73BUZWT14TBTZHC0ZTJ4" hidden="1">#REF!</definedName>
    <definedName name="BEx9853EGK21LS9VVKSCCC6V43AN" localSheetId="18" hidden="1">#REF!</definedName>
    <definedName name="BEx9853EGK21LS9VVKSCCC6V43AN" hidden="1">#REF!</definedName>
    <definedName name="BEx985JLSPMNH380TKBDXAEFC980" localSheetId="18" hidden="1">#REF!</definedName>
    <definedName name="BEx985JLSPMNH380TKBDXAEFC980" hidden="1">#REF!</definedName>
    <definedName name="BEx9871KU0N99P0900EAK69VFYT2" localSheetId="18" hidden="1">#REF!</definedName>
    <definedName name="BEx9871KU0N99P0900EAK69VFYT2" hidden="1">#REF!</definedName>
    <definedName name="BEx98A6S6VO1UKBYLX05KBIT7SC0" localSheetId="18" hidden="1">#REF!</definedName>
    <definedName name="BEx98A6S6VO1UKBYLX05KBIT7SC0" hidden="1">#REF!</definedName>
    <definedName name="BEx98IFKNJFGZFLID1YTRFEG1SXY" localSheetId="18" hidden="1">#REF!</definedName>
    <definedName name="BEx98IFKNJFGZFLID1YTRFEG1SXY" hidden="1">#REF!</definedName>
    <definedName name="BEx98N2R8QZSZ6MEH3L7U7U7D9GD" localSheetId="18" hidden="1">#REF!</definedName>
    <definedName name="BEx98N2R8QZSZ6MEH3L7U7U7D9GD" hidden="1">#REF!</definedName>
    <definedName name="BEx9915UVD4G7RA3IMLFZ0LG3UA2" localSheetId="18" hidden="1">#REF!</definedName>
    <definedName name="BEx9915UVD4G7RA3IMLFZ0LG3UA2" hidden="1">#REF!</definedName>
    <definedName name="BEx992CZON8AO7U7V88VN1JBO0MG" localSheetId="18" hidden="1">#REF!</definedName>
    <definedName name="BEx992CZON8AO7U7V88VN1JBO0MG" hidden="1">#REF!</definedName>
    <definedName name="BEx9952469XMFGSPXL7CMXHPJF90" localSheetId="18" hidden="1">#REF!</definedName>
    <definedName name="BEx9952469XMFGSPXL7CMXHPJF90" hidden="1">#REF!</definedName>
    <definedName name="BEx996PK8YMHSV0CFJOHOX1OCXHG" localSheetId="18" hidden="1">#REF!</definedName>
    <definedName name="BEx996PK8YMHSV0CFJOHOX1OCXHG" hidden="1">#REF!</definedName>
    <definedName name="BEx99B77I7TUSHRR4HIZ9FU2EIUT" localSheetId="18" hidden="1">#REF!</definedName>
    <definedName name="BEx99B77I7TUSHRR4HIZ9FU2EIUT" hidden="1">#REF!</definedName>
    <definedName name="BEx99Q6PH5F3OQKCCAAO75PYDEFN" localSheetId="18" hidden="1">#REF!</definedName>
    <definedName name="BEx99Q6PH5F3OQKCCAAO75PYDEFN" hidden="1">#REF!</definedName>
    <definedName name="BEx99WBYT2D6UUC1PT7A40ENYID4" localSheetId="18" hidden="1">#REF!</definedName>
    <definedName name="BEx99WBYT2D6UUC1PT7A40ENYID4" hidden="1">#REF!</definedName>
    <definedName name="BEx99XOGHOM28CNCYKQWYGL56W2S" localSheetId="18" hidden="1">#REF!</definedName>
    <definedName name="BEx99XOGHOM28CNCYKQWYGL56W2S" hidden="1">#REF!</definedName>
    <definedName name="BEx99ZRZ4I7FHDPGRAT5VW7NVBPU" localSheetId="18" hidden="1">#REF!</definedName>
    <definedName name="BEx99ZRZ4I7FHDPGRAT5VW7NVBPU" hidden="1">#REF!</definedName>
    <definedName name="BEx9AT5E3ZSHKSOL35O38L8HF9TH" localSheetId="18" hidden="1">#REF!</definedName>
    <definedName name="BEx9AT5E3ZSHKSOL35O38L8HF9TH" hidden="1">#REF!</definedName>
    <definedName name="BEx9AV8W1FAWF5BHATYEN47X12JN" localSheetId="18" hidden="1">#REF!</definedName>
    <definedName name="BEx9AV8W1FAWF5BHATYEN47X12JN" hidden="1">#REF!</definedName>
    <definedName name="BEx9B8A5186FNTQQNLIO5LK02ABI" localSheetId="18" hidden="1">#REF!</definedName>
    <definedName name="BEx9B8A5186FNTQQNLIO5LK02ABI" hidden="1">#REF!</definedName>
    <definedName name="BEx9B8VR20E2CILU4CDQUQQ9ONXK" localSheetId="18" hidden="1">#REF!</definedName>
    <definedName name="BEx9B8VR20E2CILU4CDQUQQ9ONXK" hidden="1">#REF!</definedName>
    <definedName name="BEx9B917BFT5XKMEOKSZYR2JDGKF" localSheetId="18" hidden="1">#REF!</definedName>
    <definedName name="BEx9B917BFT5XKMEOKSZYR2JDGKF" hidden="1">#REF!</definedName>
    <definedName name="BEx9B917EUP13X6FQ3NPQL76XM5V" localSheetId="18" hidden="1">#REF!</definedName>
    <definedName name="BEx9B917EUP13X6FQ3NPQL76XM5V" hidden="1">#REF!</definedName>
    <definedName name="BEx9BAJ5WYEQ623HUT9NNCMP3RUG" localSheetId="18" hidden="1">#REF!</definedName>
    <definedName name="BEx9BAJ5WYEQ623HUT9NNCMP3RUG" hidden="1">#REF!</definedName>
    <definedName name="BEx9BURCKUDZU2MLNSZIIBVDAXBV" localSheetId="18" hidden="1">#REF!</definedName>
    <definedName name="BEx9BURCKUDZU2MLNSZIIBVDAXBV" hidden="1">#REF!</definedName>
    <definedName name="BEx9BYNN9WBL0OZNO7QKTM7XA0XO" localSheetId="18" hidden="1">#REF!</definedName>
    <definedName name="BEx9BYNN9WBL0OZNO7QKTM7XA0XO" hidden="1">#REF!</definedName>
    <definedName name="BEx9BYSYW7QCPXS2NAVLFAU5Y2Z2" localSheetId="18" hidden="1">#REF!</definedName>
    <definedName name="BEx9BYSYW7QCPXS2NAVLFAU5Y2Z2" hidden="1">#REF!</definedName>
    <definedName name="BEx9C590HJ2O31IWJB73C1HR74AI" localSheetId="18" hidden="1">#REF!</definedName>
    <definedName name="BEx9C590HJ2O31IWJB73C1HR74AI" hidden="1">#REF!</definedName>
    <definedName name="BEx9CCQRMYYOGIOYTOM73VKDIPS1" localSheetId="18" hidden="1">#REF!</definedName>
    <definedName name="BEx9CCQRMYYOGIOYTOM73VKDIPS1" hidden="1">#REF!</definedName>
    <definedName name="BEx9COA2U27AO1YZGMLP7B8DR22D" localSheetId="18" hidden="1">#REF!</definedName>
    <definedName name="BEx9COA2U27AO1YZGMLP7B8DR22D" hidden="1">#REF!</definedName>
    <definedName name="BEx9D1BC9FT19KY0INAABNDBAMR1" localSheetId="18" hidden="1">#REF!</definedName>
    <definedName name="BEx9D1BC9FT19KY0INAABNDBAMR1" hidden="1">#REF!</definedName>
    <definedName name="BEx9DN6ZMF18Q39MPMXSDJTZQNJ3" localSheetId="18" hidden="1">#REF!</definedName>
    <definedName name="BEx9DN6ZMF18Q39MPMXSDJTZQNJ3" hidden="1">#REF!</definedName>
    <definedName name="BEx9DUU8DALPSCW66GTMQRPXZ6GL" localSheetId="18" hidden="1">#REF!</definedName>
    <definedName name="BEx9DUU8DALPSCW66GTMQRPXZ6GL" hidden="1">#REF!</definedName>
    <definedName name="BEx9E14TDNSEMI784W0OTIEQMWN6" localSheetId="18" hidden="1">#REF!</definedName>
    <definedName name="BEx9E14TDNSEMI784W0OTIEQMWN6" hidden="1">#REF!</definedName>
    <definedName name="BEx9E2BZ2B1R41FMGJCJ7JLGLUAJ" localSheetId="18" hidden="1">#REF!</definedName>
    <definedName name="BEx9E2BZ2B1R41FMGJCJ7JLGLUAJ" hidden="1">#REF!</definedName>
    <definedName name="BEx9E6DJDRR3E21QMZAPDC3O470U" localSheetId="18" hidden="1">#REF!</definedName>
    <definedName name="BEx9E6DJDRR3E21QMZAPDC3O470U" hidden="1">#REF!</definedName>
    <definedName name="BEx9EG9KBJ77M8LEOR9ITOKN5KXY" localSheetId="18" hidden="1">#REF!</definedName>
    <definedName name="BEx9EG9KBJ77M8LEOR9ITOKN5KXY" hidden="1">#REF!</definedName>
    <definedName name="BEx9EMK6HAJJMVYZTN5AUIV7O1E6" localSheetId="18" hidden="1">#REF!</definedName>
    <definedName name="BEx9EMK6HAJJMVYZTN5AUIV7O1E6" hidden="1">#REF!</definedName>
    <definedName name="BEx9EQLVZHYQ1TPX7WH3SOWXCZLE" localSheetId="18" hidden="1">#REF!</definedName>
    <definedName name="BEx9EQLVZHYQ1TPX7WH3SOWXCZLE" hidden="1">#REF!</definedName>
    <definedName name="BEx9ETLU0EK5LGEM1QCNYN2S8O5F" localSheetId="18" hidden="1">#REF!</definedName>
    <definedName name="BEx9ETLU0EK5LGEM1QCNYN2S8O5F" hidden="1">#REF!</definedName>
    <definedName name="BEx9F0Y2ESUNE3U7TQDLMPE9BO67" localSheetId="18" hidden="1">#REF!</definedName>
    <definedName name="BEx9F0Y2ESUNE3U7TQDLMPE9BO67" hidden="1">#REF!</definedName>
    <definedName name="BEx9F5W18ZGFOKGRE8PR6T1MO6GT" localSheetId="18" hidden="1">#REF!</definedName>
    <definedName name="BEx9F5W18ZGFOKGRE8PR6T1MO6GT" hidden="1">#REF!</definedName>
    <definedName name="BEx9F78N4HY0XFGBQ4UJRD52L1EI" localSheetId="18" hidden="1">#REF!</definedName>
    <definedName name="BEx9F78N4HY0XFGBQ4UJRD52L1EI" hidden="1">#REF!</definedName>
    <definedName name="BEx9FF16LOQP5QIR4UHW5EIFGQB8" localSheetId="18" hidden="1">#REF!</definedName>
    <definedName name="BEx9FF16LOQP5QIR4UHW5EIFGQB8" hidden="1">#REF!</definedName>
    <definedName name="BEx9FJTSRCZ3ZXT3QVBJT5NF8T7V" localSheetId="18" hidden="1">#REF!</definedName>
    <definedName name="BEx9FJTSRCZ3ZXT3QVBJT5NF8T7V" hidden="1">#REF!</definedName>
    <definedName name="BEx9FRBEEYPS5HLS3XT34AKZN94G" localSheetId="18" hidden="1">#REF!</definedName>
    <definedName name="BEx9FRBEEYPS5HLS3XT34AKZN94G" hidden="1">#REF!</definedName>
    <definedName name="BEx9GD1Q3X2QNEWIFN2YPBFX6LMO" localSheetId="18" hidden="1">#REF!</definedName>
    <definedName name="BEx9GD1Q3X2QNEWIFN2YPBFX6LMO" hidden="1">#REF!</definedName>
    <definedName name="BEx9GDY4D8ZPQJCYFIMYM0V0C51Y" localSheetId="18" hidden="1">#REF!</definedName>
    <definedName name="BEx9GDY4D8ZPQJCYFIMYM0V0C51Y" hidden="1">#REF!</definedName>
    <definedName name="BEx9GGY04V0ZWI6O9KZH4KSBB389" localSheetId="18" hidden="1">#REF!</definedName>
    <definedName name="BEx9GGY04V0ZWI6O9KZH4KSBB389" hidden="1">#REF!</definedName>
    <definedName name="BEx9GNOPB6OZ2RH3FCDNJR38RJOS" localSheetId="18" hidden="1">#REF!</definedName>
    <definedName name="BEx9GNOPB6OZ2RH3FCDNJR38RJOS" hidden="1">#REF!</definedName>
    <definedName name="BEx9GUQALUWCD30UKUQGSWW8KBQ7" localSheetId="18" hidden="1">#REF!</definedName>
    <definedName name="BEx9GUQALUWCD30UKUQGSWW8KBQ7" hidden="1">#REF!</definedName>
    <definedName name="BEx9GY6BVFQGCLMOWVT6PIC9WP5X" localSheetId="18" hidden="1">#REF!</definedName>
    <definedName name="BEx9GY6BVFQGCLMOWVT6PIC9WP5X" hidden="1">#REF!</definedName>
    <definedName name="BEx9GZ2P3FDHKXEBXX2VS0BG2NP2" localSheetId="18" hidden="1">#REF!</definedName>
    <definedName name="BEx9GZ2P3FDHKXEBXX2VS0BG2NP2" hidden="1">#REF!</definedName>
    <definedName name="BEx9H04IB14E1437FF2OIRRWBSD7" localSheetId="18" hidden="1">#REF!</definedName>
    <definedName name="BEx9H04IB14E1437FF2OIRRWBSD7" hidden="1">#REF!</definedName>
    <definedName name="BEx9H5O1KDZJCW91Q29VRPY5YS6P" localSheetId="18" hidden="1">#REF!</definedName>
    <definedName name="BEx9H5O1KDZJCW91Q29VRPY5YS6P" hidden="1">#REF!</definedName>
    <definedName name="BEx9H645M2VLV3GR46GAUCXDZQ4K" localSheetId="18" hidden="1">#REF!</definedName>
    <definedName name="BEx9H645M2VLV3GR46GAUCXDZQ4K" hidden="1">#REF!</definedName>
    <definedName name="BEx9H8YR0E906F1JXZMBX3LNT004" localSheetId="18" hidden="1">#REF!</definedName>
    <definedName name="BEx9H8YR0E906F1JXZMBX3LNT004" hidden="1">#REF!</definedName>
    <definedName name="BEx9HVQR4IC0WPZ653S8B4V0A13M" localSheetId="18" hidden="1">'[38]10.08.5 - 2008 Capital - TDBU'!#REF!</definedName>
    <definedName name="BEx9HVQR4IC0WPZ653S8B4V0A13M" hidden="1">'[38]10.08.5 - 2008 Capital - TDBU'!#REF!</definedName>
    <definedName name="BEx9I38IOO8BH8XCE1W3NL31U1L9" localSheetId="18" hidden="1">#REF!</definedName>
    <definedName name="BEx9I38IOO8BH8XCE1W3NL31U1L9" hidden="1">#REF!</definedName>
    <definedName name="BEx9I8XIG7E5NB48QQHXP23FIN60" localSheetId="18" hidden="1">#REF!</definedName>
    <definedName name="BEx9I8XIG7E5NB48QQHXP23FIN60" hidden="1">#REF!</definedName>
    <definedName name="BEx9IHX7C0FG3M2R14H0SWIUGAOA" localSheetId="18" hidden="1">#REF!</definedName>
    <definedName name="BEx9IHX7C0FG3M2R14H0SWIUGAOA" hidden="1">#REF!</definedName>
    <definedName name="BEx9IQRF01ATLVK0YE60ARKQJ68L" localSheetId="18" hidden="1">#REF!</definedName>
    <definedName name="BEx9IQRF01ATLVK0YE60ARKQJ68L" hidden="1">#REF!</definedName>
    <definedName name="BEx9IT5QNZWKM6YQ5WER0DC2PMMU" localSheetId="18" hidden="1">#REF!</definedName>
    <definedName name="BEx9IT5QNZWKM6YQ5WER0DC2PMMU" hidden="1">#REF!</definedName>
    <definedName name="BEx9ITRA6B7P81T57OO22V5XLX9P" localSheetId="18" hidden="1">#REF!</definedName>
    <definedName name="BEx9ITRA6B7P81T57OO22V5XLX9P" hidden="1">#REF!</definedName>
    <definedName name="BEx9IW5MFLXTVCJHVUZTUH93AXOS" localSheetId="18" hidden="1">#REF!</definedName>
    <definedName name="BEx9IW5MFLXTVCJHVUZTUH93AXOS" hidden="1">#REF!</definedName>
    <definedName name="BEx9IXCSPSZC80YZUPRCYTG326KV" localSheetId="18" hidden="1">#REF!</definedName>
    <definedName name="BEx9IXCSPSZC80YZUPRCYTG326KV" hidden="1">#REF!</definedName>
    <definedName name="BEx9IZR39NHDGOM97H4E6F81RTQW" localSheetId="18" hidden="1">#REF!</definedName>
    <definedName name="BEx9IZR39NHDGOM97H4E6F81RTQW" hidden="1">#REF!</definedName>
    <definedName name="BEx9J07CU8X78XP5E4QC8XZ6YRCG" localSheetId="18" hidden="1">#REF!</definedName>
    <definedName name="BEx9J07CU8X78XP5E4QC8XZ6YRCG" hidden="1">#REF!</definedName>
    <definedName name="BEx9J6CH5E7YZPER7HXEIOIKGPCA" localSheetId="18" hidden="1">#REF!</definedName>
    <definedName name="BEx9J6CH5E7YZPER7HXEIOIKGPCA" hidden="1">#REF!</definedName>
    <definedName name="BEx9JJTZKVUJAVPTRE0RAVTEH41G" localSheetId="18" hidden="1">#REF!</definedName>
    <definedName name="BEx9JJTZKVUJAVPTRE0RAVTEH41G" hidden="1">#REF!</definedName>
    <definedName name="BEx9JLBYK239B3F841C7YG1GT7ST" localSheetId="18" hidden="1">#REF!</definedName>
    <definedName name="BEx9JLBYK239B3F841C7YG1GT7ST" hidden="1">#REF!</definedName>
    <definedName name="BEx9JQQ6BSIHSV0FS8QDIRPHMMLE" localSheetId="18" hidden="1">#REF!</definedName>
    <definedName name="BEx9JQQ6BSIHSV0FS8QDIRPHMMLE" hidden="1">#REF!</definedName>
    <definedName name="BEx9KP7077LQ4Q2NWSIETHZ0VA05" localSheetId="18" hidden="1">#REF!</definedName>
    <definedName name="BEx9KP7077LQ4Q2NWSIETHZ0VA05" hidden="1">#REF!</definedName>
    <definedName name="BExAW4IIW5D0MDY6TJ3G4FOLPYIR" localSheetId="18" hidden="1">#REF!</definedName>
    <definedName name="BExAW4IIW5D0MDY6TJ3G4FOLPYIR" hidden="1">#REF!</definedName>
    <definedName name="BExAW4TAPBZ18ES67GKFVYMS67N7" localSheetId="18" hidden="1">#REF!</definedName>
    <definedName name="BExAW4TAPBZ18ES67GKFVYMS67N7" hidden="1">#REF!</definedName>
    <definedName name="BExAWOAN9I36Q6B2P1316PE3048X" localSheetId="18" hidden="1">#REF!</definedName>
    <definedName name="BExAWOAN9I36Q6B2P1316PE3048X" hidden="1">#REF!</definedName>
    <definedName name="BExAWSSHUYAPXJEDC9JT9394SHQ5" localSheetId="18" hidden="1">#REF!</definedName>
    <definedName name="BExAWSSHUYAPXJEDC9JT9394SHQ5" hidden="1">#REF!</definedName>
    <definedName name="BExAX410NB4F2XOB84OR2197H8M5" localSheetId="18" hidden="1">#REF!</definedName>
    <definedName name="BExAX410NB4F2XOB84OR2197H8M5" hidden="1">#REF!</definedName>
    <definedName name="BExAX70W4OH6R7K3QT3YA9PA2APO" localSheetId="18" hidden="1">#REF!</definedName>
    <definedName name="BExAX70W4OH6R7K3QT3YA9PA2APO" hidden="1">#REF!</definedName>
    <definedName name="BExAX8TNG8LQ5Q4904SAYQIPGBSV" localSheetId="18" hidden="1">#REF!</definedName>
    <definedName name="BExAX8TNG8LQ5Q4904SAYQIPGBSV" hidden="1">#REF!</definedName>
    <definedName name="BExAXLK9UGB0UFRV7X4UPIUEJ3VZ" localSheetId="18" hidden="1">#REF!</definedName>
    <definedName name="BExAXLK9UGB0UFRV7X4UPIUEJ3VZ" hidden="1">#REF!</definedName>
    <definedName name="BExAY0EAT2LXR5MFGM0DLIB45PLO" localSheetId="18" hidden="1">#REF!</definedName>
    <definedName name="BExAY0EAT2LXR5MFGM0DLIB45PLO" hidden="1">#REF!</definedName>
    <definedName name="BExAYE6LNIEBR9DSNI5JGNITGKIT" localSheetId="18" hidden="1">#REF!</definedName>
    <definedName name="BExAYE6LNIEBR9DSNI5JGNITGKIT" hidden="1">#REF!</definedName>
    <definedName name="BExAYHMLXGGO25P8HYB2S75DEB4F" localSheetId="18" hidden="1">#REF!</definedName>
    <definedName name="BExAYHMLXGGO25P8HYB2S75DEB4F" hidden="1">#REF!</definedName>
    <definedName name="BExAYJQ9G4ZXJFPWD4VIWQU6WUFT" localSheetId="18" hidden="1">#REF!</definedName>
    <definedName name="BExAYJQ9G4ZXJFPWD4VIWQU6WUFT" hidden="1">#REF!</definedName>
    <definedName name="BExAYKXAUWGDOPG952TEJ2UKZKWN" localSheetId="18" hidden="1">#REF!</definedName>
    <definedName name="BExAYKXAUWGDOPG952TEJ2UKZKWN" hidden="1">#REF!</definedName>
    <definedName name="BExAYP9TDTI2MBP6EYE0H39CPMXN" localSheetId="18" hidden="1">#REF!</definedName>
    <definedName name="BExAYP9TDTI2MBP6EYE0H39CPMXN" hidden="1">#REF!</definedName>
    <definedName name="BExAYPPWJPWDKU59O051WMGB7O0J" localSheetId="18" hidden="1">#REF!</definedName>
    <definedName name="BExAYPPWJPWDKU59O051WMGB7O0J" hidden="1">#REF!</definedName>
    <definedName name="BExAYR2JZCJBUH6F1LZC2A7JIVRJ" localSheetId="18" hidden="1">#REF!</definedName>
    <definedName name="BExAYR2JZCJBUH6F1LZC2A7JIVRJ" hidden="1">#REF!</definedName>
    <definedName name="BExAYTGVRD3DLKO75RFPMBKCIWB8" localSheetId="18" hidden="1">#REF!</definedName>
    <definedName name="BExAYTGVRD3DLKO75RFPMBKCIWB8" hidden="1">#REF!</definedName>
    <definedName name="BExAYUYTMF7YSRG951CIIWKZM0T5" localSheetId="18" hidden="1">#REF!</definedName>
    <definedName name="BExAYUYTMF7YSRG951CIIWKZM0T5" hidden="1">#REF!</definedName>
    <definedName name="BExAYY9H9COOT46HJLPVDLTO12UL" localSheetId="18" hidden="1">#REF!</definedName>
    <definedName name="BExAYY9H9COOT46HJLPVDLTO12UL" hidden="1">#REF!</definedName>
    <definedName name="BExAZCNEGB4JYHC8CZ51KTN890US" localSheetId="18" hidden="1">#REF!</definedName>
    <definedName name="BExAZCNEGB4JYHC8CZ51KTN890US" hidden="1">#REF!</definedName>
    <definedName name="BExAZFCI302YFYRDJYQDWQQL0Q0O" localSheetId="18" hidden="1">#REF!</definedName>
    <definedName name="BExAZFCI302YFYRDJYQDWQQL0Q0O" hidden="1">#REF!</definedName>
    <definedName name="BExAZLHLST9OP89R1HJMC1POQG8H" localSheetId="18" hidden="1">#REF!</definedName>
    <definedName name="BExAZLHLST9OP89R1HJMC1POQG8H" hidden="1">#REF!</definedName>
    <definedName name="BExAZMDYMIAA7RX1BMCKU1VLBRGY" localSheetId="18" hidden="1">#REF!</definedName>
    <definedName name="BExAZMDYMIAA7RX1BMCKU1VLBRGY" hidden="1">#REF!</definedName>
    <definedName name="BExAZNL6BHI8DCQWXOX4I2P839UX" localSheetId="18" hidden="1">#REF!</definedName>
    <definedName name="BExAZNL6BHI8DCQWXOX4I2P839UX" hidden="1">#REF!</definedName>
    <definedName name="BExAZRMWSONMCG9KDUM4KAQ7BONM" localSheetId="18" hidden="1">#REF!</definedName>
    <definedName name="BExAZRMWSONMCG9KDUM4KAQ7BONM" hidden="1">#REF!</definedName>
    <definedName name="BExAZTFG4SJRG4TW6JXRF7N08JFI" localSheetId="18" hidden="1">#REF!</definedName>
    <definedName name="BExAZTFG4SJRG4TW6JXRF7N08JFI" hidden="1">#REF!</definedName>
    <definedName name="BExAZUS4A8OHDZK0MWAOCCCKTH73" localSheetId="18" hidden="1">#REF!</definedName>
    <definedName name="BExAZUS4A8OHDZK0MWAOCCCKTH73" hidden="1">#REF!</definedName>
    <definedName name="BExAZX6FECVK3E07KXM2XPYKGM6U" localSheetId="18" hidden="1">#REF!</definedName>
    <definedName name="BExAZX6FECVK3E07KXM2XPYKGM6U" hidden="1">#REF!</definedName>
    <definedName name="BExAZXXGBA3DZ26LBRJCSRIMDYY6" localSheetId="18" hidden="1">'[38]10.08.5 - 2008 Capital - TDBU'!#REF!</definedName>
    <definedName name="BExAZXXGBA3DZ26LBRJCSRIMDYY6" hidden="1">'[38]10.08.5 - 2008 Capital - TDBU'!#REF!</definedName>
    <definedName name="BExB012NJ8GASTNNPBRRFTLHIOC9" localSheetId="18" hidden="1">#REF!</definedName>
    <definedName name="BExB012NJ8GASTNNPBRRFTLHIOC9" hidden="1">#REF!</definedName>
    <definedName name="BExB072HHXVMUC0VYNGG48GRSH5Q" localSheetId="18" hidden="1">#REF!</definedName>
    <definedName name="BExB072HHXVMUC0VYNGG48GRSH5Q" hidden="1">#REF!</definedName>
    <definedName name="BExB0FRDEYDEUEAB1W8KD6D965XA" localSheetId="18" hidden="1">#REF!</definedName>
    <definedName name="BExB0FRDEYDEUEAB1W8KD6D965XA" hidden="1">#REF!</definedName>
    <definedName name="BExB0KPCN7YJORQAYUCF4YKIKPMC" localSheetId="18" hidden="1">#REF!</definedName>
    <definedName name="BExB0KPCN7YJORQAYUCF4YKIKPMC" hidden="1">#REF!</definedName>
    <definedName name="BExB0WE4PI3NOBXXVO9CTEN4DIU2" localSheetId="18" hidden="1">#REF!</definedName>
    <definedName name="BExB0WE4PI3NOBXXVO9CTEN4DIU2" hidden="1">#REF!</definedName>
    <definedName name="BExB0ZJIGMTDV9JC5IILPRZ5BXNJ" localSheetId="18" hidden="1">#REF!</definedName>
    <definedName name="BExB0ZJIGMTDV9JC5IILPRZ5BXNJ" hidden="1">#REF!</definedName>
    <definedName name="BExB10QNIVITUYS55OAEKK3VLJFE" localSheetId="18" hidden="1">#REF!</definedName>
    <definedName name="BExB10QNIVITUYS55OAEKK3VLJFE" hidden="1">#REF!</definedName>
    <definedName name="BExB14HG3PSHTJ4S9G0Y803UWLWP" localSheetId="18" hidden="1">#REF!</definedName>
    <definedName name="BExB14HG3PSHTJ4S9G0Y803UWLWP" hidden="1">#REF!</definedName>
    <definedName name="BExB15ZDRY4CIJ911DONP0KCY9KU" localSheetId="18" hidden="1">#REF!</definedName>
    <definedName name="BExB15ZDRY4CIJ911DONP0KCY9KU" hidden="1">#REF!</definedName>
    <definedName name="BExB16VQY0O0RLZYJFU3OFEONVTE" localSheetId="18" hidden="1">#REF!</definedName>
    <definedName name="BExB16VQY0O0RLZYJFU3OFEONVTE" hidden="1">#REF!</definedName>
    <definedName name="BExB1C4HDPDZBISSQ3JREULJJZ7K" localSheetId="18" hidden="1">#REF!</definedName>
    <definedName name="BExB1C4HDPDZBISSQ3JREULJJZ7K" hidden="1">#REF!</definedName>
    <definedName name="BExB1FKNY2UO4W5FUGFHJOA2WFGG" localSheetId="18" hidden="1">#REF!</definedName>
    <definedName name="BExB1FKNY2UO4W5FUGFHJOA2WFGG" hidden="1">#REF!</definedName>
    <definedName name="BExB1GMD0PIDGTFBGQOPRWQSP9I4" localSheetId="18" hidden="1">#REF!</definedName>
    <definedName name="BExB1GMD0PIDGTFBGQOPRWQSP9I4" hidden="1">#REF!</definedName>
    <definedName name="BExB1Q29OO6LNFNT1EQLA3KYE7MX" localSheetId="18" hidden="1">#REF!</definedName>
    <definedName name="BExB1Q29OO6LNFNT1EQLA3KYE7MX" hidden="1">#REF!</definedName>
    <definedName name="BExB1TNRV5EBWZEHYLHI76T0FVA7" localSheetId="18" hidden="1">#REF!</definedName>
    <definedName name="BExB1TNRV5EBWZEHYLHI76T0FVA7" hidden="1">#REF!</definedName>
    <definedName name="BExB1WI6M8I0EEP1ANUQZCFY24EV" localSheetId="18" hidden="1">#REF!</definedName>
    <definedName name="BExB1WI6M8I0EEP1ANUQZCFY24EV" hidden="1">#REF!</definedName>
    <definedName name="BExB203OWC9QZA3BYOKQ18L4FUJE" localSheetId="18" hidden="1">#REF!</definedName>
    <definedName name="BExB203OWC9QZA3BYOKQ18L4FUJE" hidden="1">#REF!</definedName>
    <definedName name="BExB215I6XJMAXZ5JDHT0R7K0CS1" localSheetId="18" hidden="1">#REF!</definedName>
    <definedName name="BExB215I6XJMAXZ5JDHT0R7K0CS1" hidden="1">#REF!</definedName>
    <definedName name="BExB2CJHTU7C591BR4WRL5L2F2K6" localSheetId="18" hidden="1">#REF!</definedName>
    <definedName name="BExB2CJHTU7C591BR4WRL5L2F2K6" hidden="1">#REF!</definedName>
    <definedName name="BExB2K1AV4PGNS1O6C7D7AO411AX" localSheetId="18" hidden="1">#REF!</definedName>
    <definedName name="BExB2K1AV4PGNS1O6C7D7AO411AX" hidden="1">#REF!</definedName>
    <definedName name="BExB2O2UYHKI324YE324E1N7FVIB" localSheetId="18" hidden="1">#REF!</definedName>
    <definedName name="BExB2O2UYHKI324YE324E1N7FVIB" hidden="1">#REF!</definedName>
    <definedName name="BExB2Q0VJ0MU2URO3JOVUAVHEI3V" localSheetId="18" hidden="1">#REF!</definedName>
    <definedName name="BExB2Q0VJ0MU2URO3JOVUAVHEI3V" hidden="1">#REF!</definedName>
    <definedName name="BExB2TBL7K5D70TOLTXT6SAAJQS9" localSheetId="18" hidden="1">#REF!</definedName>
    <definedName name="BExB2TBL7K5D70TOLTXT6SAAJQS9" hidden="1">#REF!</definedName>
    <definedName name="BExB2WRQ815O1VGMGAGDGQHTTUIN" localSheetId="18" hidden="1">#REF!</definedName>
    <definedName name="BExB2WRQ815O1VGMGAGDGQHTTUIN" hidden="1">#REF!</definedName>
    <definedName name="BExB30IP1DNKNQ6PZ5ERUGR5MK4Z" localSheetId="18" hidden="1">#REF!</definedName>
    <definedName name="BExB30IP1DNKNQ6PZ5ERUGR5MK4Z" hidden="1">#REF!</definedName>
    <definedName name="BExB30YTF8EK04RZ190LBP9R44TW" localSheetId="18" hidden="1">#REF!</definedName>
    <definedName name="BExB30YTF8EK04RZ190LBP9R44TW" hidden="1">#REF!</definedName>
    <definedName name="BExB31PVM8TBKT8GI5VYI71JWZ0D" localSheetId="18" hidden="1">#REF!</definedName>
    <definedName name="BExB31PVM8TBKT8GI5VYI71JWZ0D" hidden="1">#REF!</definedName>
    <definedName name="BExB37UZ7KOLOBAPDS5EM5MJTPFJ" localSheetId="18" hidden="1">#REF!</definedName>
    <definedName name="BExB37UZ7KOLOBAPDS5EM5MJTPFJ" hidden="1">#REF!</definedName>
    <definedName name="BExB3S8NRKFKQZGZDLCF1J5OPNQX" localSheetId="18" hidden="1">#REF!</definedName>
    <definedName name="BExB3S8NRKFKQZGZDLCF1J5OPNQX" hidden="1">#REF!</definedName>
    <definedName name="BExB4016U17W1T4ZWNG5SJCGWE9P" localSheetId="18" hidden="1">#REF!</definedName>
    <definedName name="BExB4016U17W1T4ZWNG5SJCGWE9P" hidden="1">#REF!</definedName>
    <definedName name="BExB442RX0T3L6HUL6X5T21CENW6" localSheetId="18" hidden="1">#REF!</definedName>
    <definedName name="BExB442RX0T3L6HUL6X5T21CENW6" hidden="1">#REF!</definedName>
    <definedName name="BExB472MUJSUYK7SI8BX1ZGQL0NK" localSheetId="18" hidden="1">#REF!</definedName>
    <definedName name="BExB472MUJSUYK7SI8BX1ZGQL0NK" hidden="1">#REF!</definedName>
    <definedName name="BExB4ADD0L7417CII901XTFKXD1J" localSheetId="18" hidden="1">#REF!</definedName>
    <definedName name="BExB4ADD0L7417CII901XTFKXD1J" hidden="1">#REF!</definedName>
    <definedName name="BExB4DO1V1NL2AVK5YE1RSL5RYHL" localSheetId="18" hidden="1">#REF!</definedName>
    <definedName name="BExB4DO1V1NL2AVK5YE1RSL5RYHL" hidden="1">#REF!</definedName>
    <definedName name="BExB4DYU06HCGRIPBSWRCXK804UM" localSheetId="18" hidden="1">#REF!</definedName>
    <definedName name="BExB4DYU06HCGRIPBSWRCXK804UM" hidden="1">#REF!</definedName>
    <definedName name="BExB4XW9A16UWK9TUIA84W8X2ZEA" localSheetId="18" hidden="1">#REF!</definedName>
    <definedName name="BExB4XW9A16UWK9TUIA84W8X2ZEA" hidden="1">#REF!</definedName>
    <definedName name="BExB4Z3EZBGYYI33U0KQ8NEIH8PY" localSheetId="18" hidden="1">#REF!</definedName>
    <definedName name="BExB4Z3EZBGYYI33U0KQ8NEIH8PY" hidden="1">#REF!</definedName>
    <definedName name="BExB55368XW7UX657ZSPC6BFE92S" localSheetId="18" hidden="1">#REF!</definedName>
    <definedName name="BExB55368XW7UX657ZSPC6BFE92S" hidden="1">#REF!</definedName>
    <definedName name="BExB57MZEPL2SA2ONPK66YFLZWJU" localSheetId="18" hidden="1">#REF!</definedName>
    <definedName name="BExB57MZEPL2SA2ONPK66YFLZWJU" hidden="1">#REF!</definedName>
    <definedName name="BExB5833OAOJ22VK1YK47FHUSVK2" localSheetId="18" hidden="1">#REF!</definedName>
    <definedName name="BExB5833OAOJ22VK1YK47FHUSVK2" hidden="1">#REF!</definedName>
    <definedName name="BExB58JDIHS42JZT9DJJMKA8QFCO" localSheetId="18" hidden="1">#REF!</definedName>
    <definedName name="BExB58JDIHS42JZT9DJJMKA8QFCO" hidden="1">#REF!</definedName>
    <definedName name="BExB58U5FQC5JWV9CGC83HLLZUZI" localSheetId="18" hidden="1">#REF!</definedName>
    <definedName name="BExB58U5FQC5JWV9CGC83HLLZUZI" hidden="1">#REF!</definedName>
    <definedName name="BExB5EDO9XUKHF74X3HAU2WPPHZH" localSheetId="18" hidden="1">#REF!</definedName>
    <definedName name="BExB5EDO9XUKHF74X3HAU2WPPHZH" hidden="1">#REF!</definedName>
    <definedName name="BExB5G6EH68AYEP1UT0GHUEL3SLN" localSheetId="18" hidden="1">#REF!</definedName>
    <definedName name="BExB5G6EH68AYEP1UT0GHUEL3SLN" hidden="1">#REF!</definedName>
    <definedName name="BExB5IFAFRG56RCEOOXLOQHCNSLB" localSheetId="18" hidden="1">#REF!</definedName>
    <definedName name="BExB5IFAFRG56RCEOOXLOQHCNSLB" hidden="1">#REF!</definedName>
    <definedName name="BExB5QYVEZWFE5DQVHAM760EV05X" localSheetId="18" hidden="1">#REF!</definedName>
    <definedName name="BExB5QYVEZWFE5DQVHAM760EV05X" hidden="1">#REF!</definedName>
    <definedName name="BExB5U9IRH14EMOE0YGIE3WIVLFS" localSheetId="18" hidden="1">#REF!</definedName>
    <definedName name="BExB5U9IRH14EMOE0YGIE3WIVLFS" hidden="1">#REF!</definedName>
    <definedName name="BExB5VWYMOV6BAIH7XUBBVPU7MMD" localSheetId="18" hidden="1">#REF!</definedName>
    <definedName name="BExB5VWYMOV6BAIH7XUBBVPU7MMD" hidden="1">#REF!</definedName>
    <definedName name="BExB610DZWIJP1B72U9QM42COH2B" localSheetId="18" hidden="1">#REF!</definedName>
    <definedName name="BExB610DZWIJP1B72U9QM42COH2B" hidden="1">#REF!</definedName>
    <definedName name="BExB6C3FUAKK9ML5T767NMWGA9YB" localSheetId="18" hidden="1">#REF!</definedName>
    <definedName name="BExB6C3FUAKK9ML5T767NMWGA9YB" hidden="1">#REF!</definedName>
    <definedName name="BExB6C8X6JYRLKZKK17VE3QUNL3D" localSheetId="18" hidden="1">#REF!</definedName>
    <definedName name="BExB6C8X6JYRLKZKK17VE3QUNL3D" hidden="1">#REF!</definedName>
    <definedName name="BExB6HN3QRFPXM71MDUK21BKM7PF" localSheetId="18" hidden="1">#REF!</definedName>
    <definedName name="BExB6HN3QRFPXM71MDUK21BKM7PF" hidden="1">#REF!</definedName>
    <definedName name="BExB6IZMHCZ3LB7N73KD90YB1HBZ" localSheetId="18" hidden="1">#REF!</definedName>
    <definedName name="BExB6IZMHCZ3LB7N73KD90YB1HBZ" hidden="1">#REF!</definedName>
    <definedName name="BExB6RZAN4TW4BIS93TJP3MTSF2V" localSheetId="18" hidden="1">#REF!</definedName>
    <definedName name="BExB6RZAN4TW4BIS93TJP3MTSF2V" hidden="1">#REF!</definedName>
    <definedName name="BExB6SKVVBQPHZ4Y692I5525S418" localSheetId="18" hidden="1">#REF!</definedName>
    <definedName name="BExB6SKVVBQPHZ4Y692I5525S418" hidden="1">#REF!</definedName>
    <definedName name="BExB719SGNX4Y8NE6JEXC555K596" localSheetId="18" hidden="1">#REF!</definedName>
    <definedName name="BExB719SGNX4Y8NE6JEXC555K596" hidden="1">#REF!</definedName>
    <definedName name="BExB7265DCHKS7V2OWRBXCZTEIW9" localSheetId="18" hidden="1">#REF!</definedName>
    <definedName name="BExB7265DCHKS7V2OWRBXCZTEIW9" hidden="1">#REF!</definedName>
    <definedName name="BExB73DAG0L10ZK0L6HQWV9BISN7" localSheetId="18" hidden="1">#REF!</definedName>
    <definedName name="BExB73DAG0L10ZK0L6HQWV9BISN7" hidden="1">#REF!</definedName>
    <definedName name="BExB74PS5P9G0P09Y6DZSCX0FLTJ" localSheetId="18" hidden="1">#REF!</definedName>
    <definedName name="BExB74PS5P9G0P09Y6DZSCX0FLTJ" hidden="1">#REF!</definedName>
    <definedName name="BExB77KDAUB9VYWBDJP50RIW7Y73" localSheetId="18" hidden="1">#REF!</definedName>
    <definedName name="BExB77KDAUB9VYWBDJP50RIW7Y73" hidden="1">#REF!</definedName>
    <definedName name="BExB78RH79J0MIF7H8CAZ0CFE88Q" localSheetId="18" hidden="1">#REF!</definedName>
    <definedName name="BExB78RH79J0MIF7H8CAZ0CFE88Q" hidden="1">#REF!</definedName>
    <definedName name="BExB7ELT09HGDVO5BJC1ZY9D09GZ" localSheetId="18" hidden="1">#REF!</definedName>
    <definedName name="BExB7ELT09HGDVO5BJC1ZY9D09GZ" hidden="1">#REF!</definedName>
    <definedName name="BExB7PZU5KVXW0MOS9BQNVV0U4WD" localSheetId="18" hidden="1">#REF!</definedName>
    <definedName name="BExB7PZU5KVXW0MOS9BQNVV0U4WD" hidden="1">#REF!</definedName>
    <definedName name="BExB7R1PBLH2KKT4OJI4ESYMV3B3" localSheetId="18" hidden="1">#REF!</definedName>
    <definedName name="BExB7R1PBLH2KKT4OJI4ESYMV3B3" hidden="1">#REF!</definedName>
    <definedName name="BExB7SUFBKOZJWAZHJSNHTBMUZE4" localSheetId="18" hidden="1">#REF!</definedName>
    <definedName name="BExB7SUFBKOZJWAZHJSNHTBMUZE4" hidden="1">#REF!</definedName>
    <definedName name="BExB806PAXX70XUTA3ZI7OORD78R" localSheetId="18" hidden="1">#REF!</definedName>
    <definedName name="BExB806PAXX70XUTA3ZI7OORD78R" hidden="1">#REF!</definedName>
    <definedName name="BExB88FBDZ0MSRCK5MB3E06QBO1N" localSheetId="18" hidden="1">#REF!</definedName>
    <definedName name="BExB88FBDZ0MSRCK5MB3E06QBO1N" hidden="1">#REF!</definedName>
    <definedName name="BExB89H5ZI7PL41B4CQN2OSUPK7A" localSheetId="18" hidden="1">#REF!</definedName>
    <definedName name="BExB89H5ZI7PL41B4CQN2OSUPK7A" hidden="1">#REF!</definedName>
    <definedName name="BExB8HF4UBVZKQCSRFRUQL2EE6VL" localSheetId="18" hidden="1">#REF!</definedName>
    <definedName name="BExB8HF4UBVZKQCSRFRUQL2EE6VL" hidden="1">#REF!</definedName>
    <definedName name="BExB8HKHKZ1ORJZUYGG2M4VSCC39" localSheetId="18" hidden="1">#REF!</definedName>
    <definedName name="BExB8HKHKZ1ORJZUYGG2M4VSCC39" hidden="1">#REF!</definedName>
    <definedName name="BExB8PIBXT2X11LCOX7RIO57ITDV" localSheetId="18" hidden="1">#REF!</definedName>
    <definedName name="BExB8PIBXT2X11LCOX7RIO57ITDV" hidden="1">#REF!</definedName>
    <definedName name="BExB8QPH8DC5BESEVPSMBCWVN6PO" localSheetId="18" hidden="1">#REF!</definedName>
    <definedName name="BExB8QPH8DC5BESEVPSMBCWVN6PO" hidden="1">#REF!</definedName>
    <definedName name="BExB8U5N0D85YR8APKN3PPKG0FWP" localSheetId="18" hidden="1">#REF!</definedName>
    <definedName name="BExB8U5N0D85YR8APKN3PPKG0FWP" hidden="1">#REF!</definedName>
    <definedName name="BExB91I17P2IIQ85B7OF9X01BBL0" localSheetId="18" hidden="1">#REF!</definedName>
    <definedName name="BExB91I17P2IIQ85B7OF9X01BBL0" hidden="1">#REF!</definedName>
    <definedName name="BExB9DHI5I2TJ2LXYPM98EE81L27" localSheetId="18" hidden="1">#REF!</definedName>
    <definedName name="BExB9DHI5I2TJ2LXYPM98EE81L27" hidden="1">#REF!</definedName>
    <definedName name="BExB9IVQ5K36625BTKIXXB3R8NKE" localSheetId="18" hidden="1">#REF!</definedName>
    <definedName name="BExB9IVQ5K36625BTKIXXB3R8NKE" hidden="1">#REF!</definedName>
    <definedName name="BExB9Q2MZZHBGW8QQKVEYIMJBPIE" localSheetId="18" hidden="1">#REF!</definedName>
    <definedName name="BExB9Q2MZZHBGW8QQKVEYIMJBPIE" hidden="1">#REF!</definedName>
    <definedName name="BExB9UVAU97XX5IFJV05VHTKS512" localSheetId="18" hidden="1">#REF!</definedName>
    <definedName name="BExB9UVAU97XX5IFJV05VHTKS512" hidden="1">#REF!</definedName>
    <definedName name="BExB9WTBZ1ZNJ5PYDE80FJ9A5MQS" localSheetId="18" hidden="1">#REF!</definedName>
    <definedName name="BExB9WTBZ1ZNJ5PYDE80FJ9A5MQS" hidden="1">#REF!</definedName>
    <definedName name="BExBA1GON0EZRJ20UYPILAPLNQWM" localSheetId="18" hidden="1">#REF!</definedName>
    <definedName name="BExBA1GON0EZRJ20UYPILAPLNQWM" hidden="1">#REF!</definedName>
    <definedName name="BExBA1RFNTGEN0TO2IRNXT6F3QKR" localSheetId="18" hidden="1">#REF!</definedName>
    <definedName name="BExBA1RFNTGEN0TO2IRNXT6F3QKR" hidden="1">#REF!</definedName>
    <definedName name="BExBA69ASGYRZW1G1DYIS9QRRTBN" localSheetId="18" hidden="1">#REF!</definedName>
    <definedName name="BExBA69ASGYRZW1G1DYIS9QRRTBN" hidden="1">#REF!</definedName>
    <definedName name="BExBA6K42582A14WFFWQ3Q8QQWB6" localSheetId="18" hidden="1">#REF!</definedName>
    <definedName name="BExBA6K42582A14WFFWQ3Q8QQWB6" hidden="1">#REF!</definedName>
    <definedName name="BExBA6PL9AA5J2L0KPL378AA2VZ4" localSheetId="18" hidden="1">#REF!</definedName>
    <definedName name="BExBA6PL9AA5J2L0KPL378AA2VZ4" hidden="1">#REF!</definedName>
    <definedName name="BExBA8I5D4R8R2PYQ1K16TWGTOEP" localSheetId="18" hidden="1">#REF!</definedName>
    <definedName name="BExBA8I5D4R8R2PYQ1K16TWGTOEP" hidden="1">#REF!</definedName>
    <definedName name="BExBA8NMWNC4ESE854DLVFP3K8UR" localSheetId="18" hidden="1">#REF!</definedName>
    <definedName name="BExBA8NMWNC4ESE854DLVFP3K8UR" hidden="1">#REF!</definedName>
    <definedName name="BExBA93PE0DGUUTA7LLSIGBIXWE5" localSheetId="18" hidden="1">#REF!</definedName>
    <definedName name="BExBA93PE0DGUUTA7LLSIGBIXWE5" hidden="1">#REF!</definedName>
    <definedName name="BExBAAWGR2BBXC8GXEYNQ9TYNUN8" localSheetId="18" hidden="1">#REF!</definedName>
    <definedName name="BExBAAWGR2BBXC8GXEYNQ9TYNUN8" hidden="1">#REF!</definedName>
    <definedName name="BExBAG5D16CADDC0MWOKCY7JZQO0" localSheetId="18" hidden="1">#REF!</definedName>
    <definedName name="BExBAG5D16CADDC0MWOKCY7JZQO0" hidden="1">#REF!</definedName>
    <definedName name="BExBAHY3NCFFKJ0L0RWLV9Q2XEA7" localSheetId="18" hidden="1">#REF!</definedName>
    <definedName name="BExBAHY3NCFFKJ0L0RWLV9Q2XEA7" hidden="1">#REF!</definedName>
    <definedName name="BExBAI8X0FKDQJ6YZJQDTTG4ZCWY" localSheetId="18" hidden="1">#REF!</definedName>
    <definedName name="BExBAI8X0FKDQJ6YZJQDTTG4ZCWY" hidden="1">#REF!</definedName>
    <definedName name="BExBAKN7XIBAXCF9PCNVS038PCQO" localSheetId="18" hidden="1">#REF!</definedName>
    <definedName name="BExBAKN7XIBAXCF9PCNVS038PCQO" hidden="1">#REF!</definedName>
    <definedName name="BExBAKXZ7PBW3DDKKA5MWC1ZUC7O" localSheetId="18" hidden="1">#REF!</definedName>
    <definedName name="BExBAKXZ7PBW3DDKKA5MWC1ZUC7O" hidden="1">#REF!</definedName>
    <definedName name="BExBAO8NLXZXHO6KCIECSFCH3RR0" localSheetId="18" hidden="1">#REF!</definedName>
    <definedName name="BExBAO8NLXZXHO6KCIECSFCH3RR0" hidden="1">#REF!</definedName>
    <definedName name="BExBAOOT1KBSIEISN1ADL4RMY879" localSheetId="18" hidden="1">#REF!</definedName>
    <definedName name="BExBAOOT1KBSIEISN1ADL4RMY879" hidden="1">#REF!</definedName>
    <definedName name="BExBAVKX8Q09370X1GCZWJ4E91YJ" localSheetId="18" hidden="1">#REF!</definedName>
    <definedName name="BExBAVKX8Q09370X1GCZWJ4E91YJ" hidden="1">#REF!</definedName>
    <definedName name="BExBAX2X2ENJYO4QTR5VAIQ86L7B" localSheetId="18" hidden="1">#REF!</definedName>
    <definedName name="BExBAX2X2ENJYO4QTR5VAIQ86L7B" hidden="1">#REF!</definedName>
    <definedName name="BExBAZ13D3F1DVJQ6YJ8JGUYEYJE" localSheetId="18" hidden="1">#REF!</definedName>
    <definedName name="BExBAZ13D3F1DVJQ6YJ8JGUYEYJE" hidden="1">#REF!</definedName>
    <definedName name="BExBBTG649R9I0CT042JLL8LXV18" localSheetId="18" hidden="1">#REF!</definedName>
    <definedName name="BExBBTG649R9I0CT042JLL8LXV18" hidden="1">#REF!</definedName>
    <definedName name="BExBBUCJQRR74Q7GPWDEZXYK2KJL" localSheetId="18" hidden="1">#REF!</definedName>
    <definedName name="BExBBUCJQRR74Q7GPWDEZXYK2KJL" hidden="1">#REF!</definedName>
    <definedName name="BExBBV8XVMD9CKZY711T0BN7H3PM" localSheetId="18" hidden="1">#REF!</definedName>
    <definedName name="BExBBV8XVMD9CKZY711T0BN7H3PM" hidden="1">#REF!</definedName>
    <definedName name="BExBC5L31H53WLFYF54SQM4A7EU4" localSheetId="18" hidden="1">#REF!</definedName>
    <definedName name="BExBC5L31H53WLFYF54SQM4A7EU4" hidden="1">#REF!</definedName>
    <definedName name="BExBC78HXWXHO3XAB6E8NVTBGLJS" localSheetId="18" hidden="1">#REF!</definedName>
    <definedName name="BExBC78HXWXHO3XAB6E8NVTBGLJS" hidden="1">#REF!</definedName>
    <definedName name="BExBCATYYZZEDHH6VTB2O2HIRMIR" localSheetId="18" hidden="1">#REF!</definedName>
    <definedName name="BExBCATYYZZEDHH6VTB2O2HIRMIR" hidden="1">#REF!</definedName>
    <definedName name="BExBCKKJTIRKC1RZJRTK65HHLX4W" localSheetId="18" hidden="1">#REF!</definedName>
    <definedName name="BExBCKKJTIRKC1RZJRTK65HHLX4W" hidden="1">#REF!</definedName>
    <definedName name="BExBCLMEPAN3XXX174TU8SS0627Q" localSheetId="18" hidden="1">#REF!</definedName>
    <definedName name="BExBCLMEPAN3XXX174TU8SS0627Q" hidden="1">#REF!</definedName>
    <definedName name="BExBCRBEYR2KZ8FAQFZ2NHY13WIY" localSheetId="18" hidden="1">#REF!</definedName>
    <definedName name="BExBCRBEYR2KZ8FAQFZ2NHY13WIY" hidden="1">#REF!</definedName>
    <definedName name="BExBD05M2XLZ3FDJC1J5FM7IICZB" localSheetId="18" hidden="1">'[38]10.08.2 - 2008 Expense'!#REF!</definedName>
    <definedName name="BExBD05M2XLZ3FDJC1J5FM7IICZB" hidden="1">'[38]10.08.2 - 2008 Expense'!#REF!</definedName>
    <definedName name="BExBD4I559NXSV6J07Q343TKYMVJ" localSheetId="18" hidden="1">#REF!</definedName>
    <definedName name="BExBD4I559NXSV6J07Q343TKYMVJ" hidden="1">#REF!</definedName>
    <definedName name="BExBDBZQLTX3OGFYGULQFK5WEZU5" localSheetId="18" hidden="1">#REF!</definedName>
    <definedName name="BExBDBZQLTX3OGFYGULQFK5WEZU5" hidden="1">#REF!</definedName>
    <definedName name="BExBDJS9TUEU8Z84IV59E5V4T8K6" localSheetId="18" hidden="1">#REF!</definedName>
    <definedName name="BExBDJS9TUEU8Z84IV59E5V4T8K6" hidden="1">#REF!</definedName>
    <definedName name="BExBDKOMSVH4XMH52CFJ3F028I9R" localSheetId="18" hidden="1">#REF!</definedName>
    <definedName name="BExBDKOMSVH4XMH52CFJ3F028I9R" hidden="1">#REF!</definedName>
    <definedName name="BExBDSRXVZQ0W5WXQMP5XD00GRRL" localSheetId="18" hidden="1">#REF!</definedName>
    <definedName name="BExBDSRXVZQ0W5WXQMP5XD00GRRL" hidden="1">#REF!</definedName>
    <definedName name="BExBDT87JCZT4EZQQ1HEUN7ZAMNT" localSheetId="18" hidden="1">#REF!</definedName>
    <definedName name="BExBDT87JCZT4EZQQ1HEUN7ZAMNT" hidden="1">#REF!</definedName>
    <definedName name="BExBDUVGK3E1J4JY9ZYTS7V14BLY" localSheetId="18" hidden="1">#REF!</definedName>
    <definedName name="BExBDUVGK3E1J4JY9ZYTS7V14BLY" hidden="1">#REF!</definedName>
    <definedName name="BExBDVH3DOL955WK34ZBD4XWH6OI" localSheetId="18" hidden="1">'[38]10.08.5 - 2008 Capital - TDBU'!#REF!</definedName>
    <definedName name="BExBDVH3DOL955WK34ZBD4XWH6OI" hidden="1">'[38]10.08.5 - 2008 Capital - TDBU'!#REF!</definedName>
    <definedName name="BExBE162OSBKD30I7T1DKKPT3I9I" localSheetId="18" hidden="1">#REF!</definedName>
    <definedName name="BExBE162OSBKD30I7T1DKKPT3I9I" hidden="1">#REF!</definedName>
    <definedName name="BExBE5YPUY1T7N7DHMMIGGXK8TMP" localSheetId="18" hidden="1">#REF!</definedName>
    <definedName name="BExBE5YPUY1T7N7DHMMIGGXK8TMP" hidden="1">#REF!</definedName>
    <definedName name="BExBE827OBMEXJZS59TKFQS6FC0Z" localSheetId="18" hidden="1">#REF!</definedName>
    <definedName name="BExBE827OBMEXJZS59TKFQS6FC0Z" hidden="1">#REF!</definedName>
    <definedName name="BExBEC9ATLQZF86W1M3APSM4HEOH" localSheetId="18" hidden="1">#REF!</definedName>
    <definedName name="BExBEC9ATLQZF86W1M3APSM4HEOH" hidden="1">#REF!</definedName>
    <definedName name="BExBEHCOWXYAJ0G8WL2C0YAEM0A3" localSheetId="18" hidden="1">#REF!</definedName>
    <definedName name="BExBEHCOWXYAJ0G8WL2C0YAEM0A3" hidden="1">#REF!</definedName>
    <definedName name="BExBEIUMJGTX2SBNU3E8Z2XPR27P" localSheetId="18" hidden="1">#REF!</definedName>
    <definedName name="BExBEIUMJGTX2SBNU3E8Z2XPR27P" hidden="1">#REF!</definedName>
    <definedName name="BExBEYFQJE9YK12A6JBMRFKEC7RN" localSheetId="18" hidden="1">#REF!</definedName>
    <definedName name="BExBEYFQJE9YK12A6JBMRFKEC7RN" hidden="1">#REF!</definedName>
    <definedName name="BExBG1ED81J2O4A2S5F5Y3BPHMCR" localSheetId="18" hidden="1">#REF!</definedName>
    <definedName name="BExBG1ED81J2O4A2S5F5Y3BPHMCR" hidden="1">#REF!</definedName>
    <definedName name="BExCRHX1OTQXWVM4RKG8IHHYCVFP" localSheetId="18" hidden="1">#REF!</definedName>
    <definedName name="BExCRHX1OTQXWVM4RKG8IHHYCVFP" hidden="1">#REF!</definedName>
    <definedName name="BExCRLIHS7466WFJ3RPIUGGXYESZ" localSheetId="18" hidden="1">#REF!</definedName>
    <definedName name="BExCRLIHS7466WFJ3RPIUGGXYESZ" hidden="1">#REF!</definedName>
    <definedName name="BExCS1EDDUEAEWHVYXHIP9I1WCJH" localSheetId="18" hidden="1">#REF!</definedName>
    <definedName name="BExCS1EDDUEAEWHVYXHIP9I1WCJH" hidden="1">#REF!</definedName>
    <definedName name="BExCS6SLRCBH006GNRE27HFRHP40" localSheetId="18" hidden="1">#REF!</definedName>
    <definedName name="BExCS6SLRCBH006GNRE27HFRHP40" hidden="1">#REF!</definedName>
    <definedName name="BExCS7ZPMHFJ4UJDAL8CQOLSZ13B" localSheetId="18" hidden="1">#REF!</definedName>
    <definedName name="BExCS7ZPMHFJ4UJDAL8CQOLSZ13B" hidden="1">#REF!</definedName>
    <definedName name="BExCS8W4NJUZH9S1CYB6XSDLEPBW" localSheetId="18" hidden="1">#REF!</definedName>
    <definedName name="BExCS8W4NJUZH9S1CYB6XSDLEPBW" hidden="1">#REF!</definedName>
    <definedName name="BExCSAE1M6G20R41J0Y24YNN0YC1" localSheetId="18" hidden="1">#REF!</definedName>
    <definedName name="BExCSAE1M6G20R41J0Y24YNN0YC1" hidden="1">#REF!</definedName>
    <definedName name="BExCSAOUZOYKHN7HV511TO8VDJ02" localSheetId="18" hidden="1">#REF!</definedName>
    <definedName name="BExCSAOUZOYKHN7HV511TO8VDJ02" hidden="1">#REF!</definedName>
    <definedName name="BExCSGOMZRUX4W3XE4LX5XXH5F2L" localSheetId="18" hidden="1">#REF!</definedName>
    <definedName name="BExCSGOMZRUX4W3XE4LX5XXH5F2L" hidden="1">#REF!</definedName>
    <definedName name="BExCSMOFTXSUEC1T46LR1UPYRCX5" localSheetId="18" hidden="1">#REF!</definedName>
    <definedName name="BExCSMOFTXSUEC1T46LR1UPYRCX5" hidden="1">#REF!</definedName>
    <definedName name="BExCSMTPZZ9RQU93PT4098LW6KAZ" localSheetId="18" hidden="1">#REF!</definedName>
    <definedName name="BExCSMTPZZ9RQU93PT4098LW6KAZ" hidden="1">#REF!</definedName>
    <definedName name="BExCSSDG3TM6TPKS19E9QYJEELZ6" localSheetId="18" hidden="1">#REF!</definedName>
    <definedName name="BExCSSDG3TM6TPKS19E9QYJEELZ6" hidden="1">#REF!</definedName>
    <definedName name="BExCSZV7U67UWXL2HKJNM5W1E4OO" localSheetId="18" hidden="1">#REF!</definedName>
    <definedName name="BExCSZV7U67UWXL2HKJNM5W1E4OO" hidden="1">#REF!</definedName>
    <definedName name="BExCT4NSDT61OCH04Y2QIFIOP75H" localSheetId="18" hidden="1">#REF!</definedName>
    <definedName name="BExCT4NSDT61OCH04Y2QIFIOP75H" hidden="1">#REF!</definedName>
    <definedName name="BExCTDNIGAFFV0FMRGUS25TGONCJ" localSheetId="18" hidden="1">#REF!</definedName>
    <definedName name="BExCTDNIGAFFV0FMRGUS25TGONCJ" hidden="1">#REF!</definedName>
    <definedName name="BExCTNE23PLYUM60ZCQ942C1KG81" localSheetId="18" hidden="1">#REF!</definedName>
    <definedName name="BExCTNE23PLYUM60ZCQ942C1KG81" hidden="1">#REF!</definedName>
    <definedName name="BExCTW8G3VCZ55S09HTUGXKB1P2M" localSheetId="18" hidden="1">#REF!</definedName>
    <definedName name="BExCTW8G3VCZ55S09HTUGXKB1P2M" hidden="1">#REF!</definedName>
    <definedName name="BExCTWJ9A4QCQ9OZN28V6HYAACMI" localSheetId="18" hidden="1">#REF!</definedName>
    <definedName name="BExCTWJ9A4QCQ9OZN28V6HYAACMI" hidden="1">#REF!</definedName>
    <definedName name="BExCTYS2KX0QANOLT8LGZ9WV3S3T" localSheetId="18" hidden="1">#REF!</definedName>
    <definedName name="BExCTYS2KX0QANOLT8LGZ9WV3S3T" hidden="1">#REF!</definedName>
    <definedName name="BExCTZZ9JNES4EDHW97NP0EGQALX" localSheetId="18" hidden="1">#REF!</definedName>
    <definedName name="BExCTZZ9JNES4EDHW97NP0EGQALX" hidden="1">#REF!</definedName>
    <definedName name="BExCU0A1V6NMZQ9ASYJ8QIVQ5UR2" localSheetId="18" hidden="1">#REF!</definedName>
    <definedName name="BExCU0A1V6NMZQ9ASYJ8QIVQ5UR2" hidden="1">#REF!</definedName>
    <definedName name="BExCU2834920JBHSPCRC4UF80OLL" localSheetId="18" hidden="1">#REF!</definedName>
    <definedName name="BExCU2834920JBHSPCRC4UF80OLL" hidden="1">#REF!</definedName>
    <definedName name="BExCU8O54I3P3WRYWY1CRP3S78QY" localSheetId="18" hidden="1">#REF!</definedName>
    <definedName name="BExCU8O54I3P3WRYWY1CRP3S78QY" hidden="1">#REF!</definedName>
    <definedName name="BExCUBILFA1EYYEOFEX37L275Z4P" localSheetId="18" hidden="1">#REF!</definedName>
    <definedName name="BExCUBILFA1EYYEOFEX37L275Z4P" hidden="1">#REF!</definedName>
    <definedName name="BExCUDRJO23YOKT8GPWOVQ4XEHF5" localSheetId="18" hidden="1">#REF!</definedName>
    <definedName name="BExCUDRJO23YOKT8GPWOVQ4XEHF5" hidden="1">#REF!</definedName>
    <definedName name="BExCUPAXFR16YMWL30ME3F3BSRDZ" localSheetId="18" hidden="1">#REF!</definedName>
    <definedName name="BExCUPAXFR16YMWL30ME3F3BSRDZ" hidden="1">#REF!</definedName>
    <definedName name="BExCUR94DHCE47PUUWEMT5QZOYR2" localSheetId="18" hidden="1">#REF!</definedName>
    <definedName name="BExCUR94DHCE47PUUWEMT5QZOYR2" hidden="1">#REF!</definedName>
    <definedName name="BExCUT768Y9WTBMX7GXYUGHWIXZD" localSheetId="18" hidden="1">'[38]10.08.2 - 2008 Expense'!#REF!</definedName>
    <definedName name="BExCUT768Y9WTBMX7GXYUGHWIXZD" hidden="1">'[38]10.08.2 - 2008 Expense'!#REF!</definedName>
    <definedName name="BExCUW1QXVMEP3B9SFPNEEWCG9I0" localSheetId="18" hidden="1">'[38]10.08.5 - 2008 Capital - TDBU'!#REF!</definedName>
    <definedName name="BExCUW1QXVMEP3B9SFPNEEWCG9I0" hidden="1">'[38]10.08.5 - 2008 Capital - TDBU'!#REF!</definedName>
    <definedName name="BExCUWN57J3KE1LMYFY8FAMDD57T" localSheetId="18" hidden="1">#REF!</definedName>
    <definedName name="BExCUWN57J3KE1LMYFY8FAMDD57T" hidden="1">#REF!</definedName>
    <definedName name="BExCV4VXZA9HAYPSLTWYK66MGS3Y" localSheetId="18" hidden="1">#REF!</definedName>
    <definedName name="BExCV4VXZA9HAYPSLTWYK66MGS3Y" hidden="1">#REF!</definedName>
    <definedName name="BExCV634L7SVHGB0UDDTRRQ2Q72H" localSheetId="18" hidden="1">#REF!</definedName>
    <definedName name="BExCV634L7SVHGB0UDDTRRQ2Q72H" hidden="1">#REF!</definedName>
    <definedName name="BExCVA4UIZYJL3LZ7EQQOM9CIPAD" localSheetId="18" hidden="1">#REF!</definedName>
    <definedName name="BExCVA4UIZYJL3LZ7EQQOM9CIPAD" hidden="1">#REF!</definedName>
    <definedName name="BExCVBMRUN39FYTXYMM2N12EFLG1" localSheetId="18" hidden="1">#REF!</definedName>
    <definedName name="BExCVBMRUN39FYTXYMM2N12EFLG1" hidden="1">#REF!</definedName>
    <definedName name="BExCVBXGSXT9FWJRG62PX9S1RK83" localSheetId="18" hidden="1">#REF!</definedName>
    <definedName name="BExCVBXGSXT9FWJRG62PX9S1RK83" hidden="1">#REF!</definedName>
    <definedName name="BExCVEH7A1VWBBC4BVU6VNJA1WGJ" localSheetId="18" hidden="1">#REF!</definedName>
    <definedName name="BExCVEH7A1VWBBC4BVU6VNJA1WGJ" hidden="1">#REF!</definedName>
    <definedName name="BExCVHBNLOHNFS0JAV3I1XGPNH9W" localSheetId="18" hidden="1">#REF!</definedName>
    <definedName name="BExCVHBNLOHNFS0JAV3I1XGPNH9W" hidden="1">#REF!</definedName>
    <definedName name="BExCVI86R31A2IOZIEBY1FJLVILD" localSheetId="18" hidden="1">#REF!</definedName>
    <definedName name="BExCVI86R31A2IOZIEBY1FJLVILD" hidden="1">#REF!</definedName>
    <definedName name="BExCVKGZXE0I9EIXKBZVSGSEY2RR" localSheetId="18" hidden="1">#REF!</definedName>
    <definedName name="BExCVKGZXE0I9EIXKBZVSGSEY2RR" hidden="1">#REF!</definedName>
    <definedName name="BExCVM4B2PZUHY0W5DLK6RO6HSGU" localSheetId="18" hidden="1">#REF!</definedName>
    <definedName name="BExCVM4B2PZUHY0W5DLK6RO6HSGU" hidden="1">#REF!</definedName>
    <definedName name="BExCVV44WY5807WGMTGKPW0GT256" localSheetId="18" hidden="1">#REF!</definedName>
    <definedName name="BExCVV44WY5807WGMTGKPW0GT256" hidden="1">#REF!</definedName>
    <definedName name="BExCVZ5PN4V6MRBZ04PZJW3GEF8S" localSheetId="18" hidden="1">#REF!</definedName>
    <definedName name="BExCVZ5PN4V6MRBZ04PZJW3GEF8S" hidden="1">#REF!</definedName>
    <definedName name="BExCW13R0GWJYGXZBNCPAHQN4NR2" localSheetId="18" hidden="1">#REF!</definedName>
    <definedName name="BExCW13R0GWJYGXZBNCPAHQN4NR2" hidden="1">#REF!</definedName>
    <definedName name="BExCW9Y5HWU4RJTNX74O6L24VGCK" localSheetId="18" hidden="1">#REF!</definedName>
    <definedName name="BExCW9Y5HWU4RJTNX74O6L24VGCK" hidden="1">#REF!</definedName>
    <definedName name="BExCWJOP24TCAR0PRZG8HD526AHX" localSheetId="18" hidden="1">#REF!</definedName>
    <definedName name="BExCWJOP24TCAR0PRZG8HD526AHX" hidden="1">#REF!</definedName>
    <definedName name="BExCWM8JQB8SI9MNZVUOQN3547K8" localSheetId="18" hidden="1">#REF!</definedName>
    <definedName name="BExCWM8JQB8SI9MNZVUOQN3547K8" hidden="1">#REF!</definedName>
    <definedName name="BExCWOBVOESHXLNFULF3L3PHKV9U" localSheetId="18" hidden="1">#REF!</definedName>
    <definedName name="BExCWOBVOESHXLNFULF3L3PHKV9U" hidden="1">#REF!</definedName>
    <definedName name="BExCWP2YCA04PGYT4V2CKSHBG2N7" localSheetId="18" hidden="1">#REF!</definedName>
    <definedName name="BExCWP2YCA04PGYT4V2CKSHBG2N7" hidden="1">#REF!</definedName>
    <definedName name="BExCWPDPESGZS07QGBLSBWDNVJLZ" localSheetId="18" hidden="1">#REF!</definedName>
    <definedName name="BExCWPDPESGZS07QGBLSBWDNVJLZ" hidden="1">#REF!</definedName>
    <definedName name="BExCWTVKHIVCRHF8GC39KI58YM5K" localSheetId="18" hidden="1">#REF!</definedName>
    <definedName name="BExCWTVKHIVCRHF8GC39KI58YM5K" hidden="1">#REF!</definedName>
    <definedName name="BExCWZPWC0LNH9ZNEEWXFFTQFZN4" localSheetId="18" hidden="1">#REF!</definedName>
    <definedName name="BExCWZPWC0LNH9ZNEEWXFFTQFZN4" hidden="1">#REF!</definedName>
    <definedName name="BExCX2KGRZBRVLZNM8SUSIE6A0RL" localSheetId="18" hidden="1">#REF!</definedName>
    <definedName name="BExCX2KGRZBRVLZNM8SUSIE6A0RL" hidden="1">#REF!</definedName>
    <definedName name="BExCX30QEPK6YY3L5B9A865PM1XZ" localSheetId="18" hidden="1">#REF!</definedName>
    <definedName name="BExCX30QEPK6YY3L5B9A865PM1XZ" hidden="1">#REF!</definedName>
    <definedName name="BExCX3X451T70LZ1VF95L7W4Y4TM" localSheetId="18" hidden="1">#REF!</definedName>
    <definedName name="BExCX3X451T70LZ1VF95L7W4Y4TM" hidden="1">#REF!</definedName>
    <definedName name="BExCX4NZ2N1OUGXM7EV0U7VULJMM" localSheetId="18" hidden="1">#REF!</definedName>
    <definedName name="BExCX4NZ2N1OUGXM7EV0U7VULJMM" hidden="1">#REF!</definedName>
    <definedName name="BExCX5KCKNR3QHCET9D7RK52DEJB" localSheetId="18" hidden="1">#REF!</definedName>
    <definedName name="BExCX5KCKNR3QHCET9D7RK52DEJB" hidden="1">#REF!</definedName>
    <definedName name="BExCX8V1U9KN0DWRM7RHUYCTBVEN" localSheetId="18" hidden="1">#REF!</definedName>
    <definedName name="BExCX8V1U9KN0DWRM7RHUYCTBVEN" hidden="1">#REF!</definedName>
    <definedName name="BExCXCGIFCIU1476QTARIGF5OXEL" localSheetId="18" hidden="1">#REF!</definedName>
    <definedName name="BExCXCGIFCIU1476QTARIGF5OXEL" hidden="1">#REF!</definedName>
    <definedName name="BExCXILMURGYMAH6N5LF5DV6K3GM" localSheetId="18" hidden="1">#REF!</definedName>
    <definedName name="BExCXILMURGYMAH6N5LF5DV6K3GM" hidden="1">#REF!</definedName>
    <definedName name="BExCXMY5ISUXV19SSN8W6FPXAY3L" localSheetId="18" hidden="1">#REF!</definedName>
    <definedName name="BExCXMY5ISUXV19SSN8W6FPXAY3L" hidden="1">#REF!</definedName>
    <definedName name="BExCXQUFBMXQ1650735H48B1AZT3" localSheetId="18" hidden="1">#REF!</definedName>
    <definedName name="BExCXQUFBMXQ1650735H48B1AZT3" hidden="1">#REF!</definedName>
    <definedName name="BExCXUFX19ADNJAUPHJ62T1ZS5A4" localSheetId="18" hidden="1">#REF!</definedName>
    <definedName name="BExCXUFX19ADNJAUPHJ62T1ZS5A4" hidden="1">#REF!</definedName>
    <definedName name="BExCY2DQO9VLA77Q7EG3T0XNXX4F" localSheetId="18" hidden="1">#REF!</definedName>
    <definedName name="BExCY2DQO9VLA77Q7EG3T0XNXX4F" hidden="1">#REF!</definedName>
    <definedName name="BExCY6VMJ68MX3C981R5Q0BX5791" localSheetId="18" hidden="1">#REF!</definedName>
    <definedName name="BExCY6VMJ68MX3C981R5Q0BX5791" hidden="1">#REF!</definedName>
    <definedName name="BExCYAH2SAZCPW6XCB7V7PMMCAWO" localSheetId="18" hidden="1">#REF!</definedName>
    <definedName name="BExCYAH2SAZCPW6XCB7V7PMMCAWO" hidden="1">#REF!</definedName>
    <definedName name="BExCYE2K07U5UQ0WQNHXML7T0NJO" localSheetId="18" hidden="1">#REF!</definedName>
    <definedName name="BExCYE2K07U5UQ0WQNHXML7T0NJO" hidden="1">#REF!</definedName>
    <definedName name="BExCYH7R2U5R12XVG3NJ54H052NJ" localSheetId="18" hidden="1">#REF!</definedName>
    <definedName name="BExCYH7R2U5R12XVG3NJ54H052NJ" hidden="1">#REF!</definedName>
    <definedName name="BExCYJBB52X8B3AREHCC1L5QNPX7" localSheetId="18" hidden="1">#REF!</definedName>
    <definedName name="BExCYJBB52X8B3AREHCC1L5QNPX7" hidden="1">#REF!</definedName>
    <definedName name="BExCYPRC5HJE6N2XQTHCT6NXGP8N" localSheetId="18" hidden="1">#REF!</definedName>
    <definedName name="BExCYPRC5HJE6N2XQTHCT6NXGP8N" hidden="1">#REF!</definedName>
    <definedName name="BExCYUK0I3UEXZNFDW71G6Z6D8XR" localSheetId="18" hidden="1">#REF!</definedName>
    <definedName name="BExCYUK0I3UEXZNFDW71G6Z6D8XR" hidden="1">#REF!</definedName>
    <definedName name="BExCZ9UA19GWDW0TL6HVTOXIRSPV" localSheetId="18" hidden="1">#REF!</definedName>
    <definedName name="BExCZ9UA19GWDW0TL6HVTOXIRSPV" hidden="1">#REF!</definedName>
    <definedName name="BExCZFZCXMLY5DWESYJ9NGTJYQ8M" localSheetId="18" hidden="1">#REF!</definedName>
    <definedName name="BExCZFZCXMLY5DWESYJ9NGTJYQ8M" hidden="1">#REF!</definedName>
    <definedName name="BExCZIJ0082EB1UPRKX9EHOOUV0U" localSheetId="18" hidden="1">#REF!</definedName>
    <definedName name="BExCZIJ0082EB1UPRKX9EHOOUV0U" hidden="1">#REF!</definedName>
    <definedName name="BExCZJ4P8WS0BDT31WDXI0ROE7D6" localSheetId="18" hidden="1">#REF!</definedName>
    <definedName name="BExCZJ4P8WS0BDT31WDXI0ROE7D6" hidden="1">#REF!</definedName>
    <definedName name="BExCZKH6NI0EE02L995IFVBD1J59" localSheetId="18" hidden="1">#REF!</definedName>
    <definedName name="BExCZKH6NI0EE02L995IFVBD1J59" hidden="1">#REF!</definedName>
    <definedName name="BExCZNH3KPWE50T7YYORPIC1TXLN" localSheetId="18" hidden="1">#REF!</definedName>
    <definedName name="BExCZNH3KPWE50T7YYORPIC1TXLN" hidden="1">#REF!</definedName>
    <definedName name="BExCZSKJ3H9C3V7IL5VIJR1XCVS6" localSheetId="18" hidden="1">#REF!</definedName>
    <definedName name="BExCZSKJ3H9C3V7IL5VIJR1XCVS6" hidden="1">#REF!</definedName>
    <definedName name="BExCZUD9FEOJBKDJ51Z3JON9LKJ8" localSheetId="18" hidden="1">#REF!</definedName>
    <definedName name="BExCZUD9FEOJBKDJ51Z3JON9LKJ8" hidden="1">#REF!</definedName>
    <definedName name="BExD03NQ5GR56X8Y0Y29FLTRLLS2" localSheetId="18" hidden="1">#REF!</definedName>
    <definedName name="BExD03NQ5GR56X8Y0Y29FLTRLLS2" hidden="1">#REF!</definedName>
    <definedName name="BExD0508DAALLU00PHFPBC8SRRKT" localSheetId="18" hidden="1">#REF!</definedName>
    <definedName name="BExD0508DAALLU00PHFPBC8SRRKT" hidden="1">#REF!</definedName>
    <definedName name="BExD0BAT3ER3NBREZM75FYDXWDA7" localSheetId="18" hidden="1">#REF!</definedName>
    <definedName name="BExD0BAT3ER3NBREZM75FYDXWDA7" hidden="1">#REF!</definedName>
    <definedName name="BExD0BG9BZG0I2HQ6PWHGGVEMY6K" localSheetId="18" hidden="1">#REF!</definedName>
    <definedName name="BExD0BG9BZG0I2HQ6PWHGGVEMY6K" hidden="1">#REF!</definedName>
    <definedName name="BExD0C1TNBFIEWNG3IH7R8WOPI6B" localSheetId="18" hidden="1">#REF!</definedName>
    <definedName name="BExD0C1TNBFIEWNG3IH7R8WOPI6B" hidden="1">#REF!</definedName>
    <definedName name="BExD0HALIN0JR4JTPGDEVAEE5EX5" localSheetId="18" hidden="1">#REF!</definedName>
    <definedName name="BExD0HALIN0JR4JTPGDEVAEE5EX5" hidden="1">#REF!</definedName>
    <definedName name="BExD0LCCDPG16YLY5WQSZF1XI5DA" localSheetId="18" hidden="1">#REF!</definedName>
    <definedName name="BExD0LCCDPG16YLY5WQSZF1XI5DA" hidden="1">#REF!</definedName>
    <definedName name="BExD0M38AXH7IMGDWBCB3CT349N5" localSheetId="18" hidden="1">#REF!</definedName>
    <definedName name="BExD0M38AXH7IMGDWBCB3CT349N5" hidden="1">#REF!</definedName>
    <definedName name="BExD0RMWSB4TRECEHTH6NN4K9DFZ" localSheetId="18" hidden="1">#REF!</definedName>
    <definedName name="BExD0RMWSB4TRECEHTH6NN4K9DFZ" hidden="1">#REF!</definedName>
    <definedName name="BExD0U6KG10QGVDI1XSHK0J10A2V" localSheetId="18" hidden="1">#REF!</definedName>
    <definedName name="BExD0U6KG10QGVDI1XSHK0J10A2V" hidden="1">#REF!</definedName>
    <definedName name="BExD11Z3KEWZ3PWH1UZSJRDRV9IH" localSheetId="18" hidden="1">#REF!</definedName>
    <definedName name="BExD11Z3KEWZ3PWH1UZSJRDRV9IH" hidden="1">#REF!</definedName>
    <definedName name="BExD13RUIBGRXDL4QDZ305UKUR12" localSheetId="18" hidden="1">#REF!</definedName>
    <definedName name="BExD13RUIBGRXDL4QDZ305UKUR12" hidden="1">#REF!</definedName>
    <definedName name="BExD14DETV5R4OOTMAXD5NAKWRO3" localSheetId="18" hidden="1">#REF!</definedName>
    <definedName name="BExD14DETV5R4OOTMAXD5NAKWRO3" hidden="1">#REF!</definedName>
    <definedName name="BExD160UKTD6MG5W79IBIHP0ZPKQ" localSheetId="18" hidden="1">#REF!</definedName>
    <definedName name="BExD160UKTD6MG5W79IBIHP0ZPKQ" hidden="1">#REF!</definedName>
    <definedName name="BExD16BM4TPPOCZ5ARF5HM6XKRFF" localSheetId="18" hidden="1">#REF!</definedName>
    <definedName name="BExD16BM4TPPOCZ5ARF5HM6XKRFF" hidden="1">#REF!</definedName>
    <definedName name="BExD1OAU9OXQAZA4D70HP72CU6GB" localSheetId="18" hidden="1">#REF!</definedName>
    <definedName name="BExD1OAU9OXQAZA4D70HP72CU6GB" hidden="1">#REF!</definedName>
    <definedName name="BExD1Y1JV61416YA1XRQHKWPZIE7" localSheetId="18" hidden="1">#REF!</definedName>
    <definedName name="BExD1Y1JV61416YA1XRQHKWPZIE7" hidden="1">#REF!</definedName>
    <definedName name="BExD25DU4ZMU9XFJZTH3WMVIKAK6" localSheetId="18" hidden="1">#REF!</definedName>
    <definedName name="BExD25DU4ZMU9XFJZTH3WMVIKAK6" hidden="1">#REF!</definedName>
    <definedName name="BExD2CFHIRMBKN5KXE5QP4XXEWFS" localSheetId="18" hidden="1">#REF!</definedName>
    <definedName name="BExD2CFHIRMBKN5KXE5QP4XXEWFS" hidden="1">#REF!</definedName>
    <definedName name="BExD2DMHH1HWXQ9W0YYMDP8AAX8Q" localSheetId="18" hidden="1">#REF!</definedName>
    <definedName name="BExD2DMHH1HWXQ9W0YYMDP8AAX8Q" hidden="1">#REF!</definedName>
    <definedName name="BExD2HTPC7IWBAU6OSQ67MQA8BYZ" localSheetId="18" hidden="1">#REF!</definedName>
    <definedName name="BExD2HTPC7IWBAU6OSQ67MQA8BYZ" hidden="1">#REF!</definedName>
    <definedName name="BExD2I9RDS4BGCN1GXO7T9OCTVFP" localSheetId="18" hidden="1">#REF!</definedName>
    <definedName name="BExD2I9RDS4BGCN1GXO7T9OCTVFP" hidden="1">#REF!</definedName>
    <definedName name="BExD2O9JP64FF7WFAC5CXN0SJ91I" localSheetId="18" hidden="1">#REF!</definedName>
    <definedName name="BExD2O9JP64FF7WFAC5CXN0SJ91I" hidden="1">#REF!</definedName>
    <definedName name="BExD363H2VGFIQUCE6LS4AC5J0ZT" localSheetId="18" hidden="1">#REF!</definedName>
    <definedName name="BExD363H2VGFIQUCE6LS4AC5J0ZT" hidden="1">#REF!</definedName>
    <definedName name="BExD3A588E939V61P1XEW0FI5Q0S" localSheetId="18" hidden="1">#REF!</definedName>
    <definedName name="BExD3A588E939V61P1XEW0FI5Q0S" hidden="1">#REF!</definedName>
    <definedName name="BExD3AW300FSO6AAXTER82E4G06O" localSheetId="18" hidden="1">#REF!</definedName>
    <definedName name="BExD3AW300FSO6AAXTER82E4G06O" hidden="1">#REF!</definedName>
    <definedName name="BExD3CJJDKVR9M18XI3WDZH80WL6" localSheetId="18" hidden="1">#REF!</definedName>
    <definedName name="BExD3CJJDKVR9M18XI3WDZH80WL6" hidden="1">#REF!</definedName>
    <definedName name="BExD3ESD9WYJIB3TRDPJ1CKXRAVL" localSheetId="18" hidden="1">#REF!</definedName>
    <definedName name="BExD3ESD9WYJIB3TRDPJ1CKXRAVL" hidden="1">#REF!</definedName>
    <definedName name="BExD3F368X5S25MWSUNIV57RDB57" localSheetId="18" hidden="1">#REF!</definedName>
    <definedName name="BExD3F368X5S25MWSUNIV57RDB57" hidden="1">#REF!</definedName>
    <definedName name="BExD3IJ5IT335SOSNV9L85WKAOSI" localSheetId="18" hidden="1">#REF!</definedName>
    <definedName name="BExD3IJ5IT335SOSNV9L85WKAOSI" hidden="1">#REF!</definedName>
    <definedName name="BExD3KBVUY57GMMQTOFEU6S6G1AY" localSheetId="18" hidden="1">#REF!</definedName>
    <definedName name="BExD3KBVUY57GMMQTOFEU6S6G1AY" hidden="1">#REF!</definedName>
    <definedName name="BExD3NMR7AW2Z6V8SC79VQR37NA6" localSheetId="18" hidden="1">#REF!</definedName>
    <definedName name="BExD3NMR7AW2Z6V8SC79VQR37NA6" hidden="1">#REF!</definedName>
    <definedName name="BExD3QXA2UQ2W4N7NYLUEOG40BZB" localSheetId="18" hidden="1">#REF!</definedName>
    <definedName name="BExD3QXA2UQ2W4N7NYLUEOG40BZB" hidden="1">#REF!</definedName>
    <definedName name="BExD3U2N041TEJ7GCN005UTPHNXY" localSheetId="18" hidden="1">#REF!</definedName>
    <definedName name="BExD3U2N041TEJ7GCN005UTPHNXY" hidden="1">#REF!</definedName>
    <definedName name="BExD3ZGUHLSCF22XMCGLGJ6SWTEA" localSheetId="18" hidden="1">#REF!</definedName>
    <definedName name="BExD3ZGUHLSCF22XMCGLGJ6SWTEA" hidden="1">#REF!</definedName>
    <definedName name="BExD40O0CFTNJFOFMMM1KH0P7BUI" localSheetId="18" hidden="1">#REF!</definedName>
    <definedName name="BExD40O0CFTNJFOFMMM1KH0P7BUI" hidden="1">#REF!</definedName>
    <definedName name="BExD42M7FXJ8KK8AK9LDV75Z0U92" localSheetId="18" hidden="1">#REF!</definedName>
    <definedName name="BExD42M7FXJ8KK8AK9LDV75Z0U92" hidden="1">#REF!</definedName>
    <definedName name="BExD4440VK5VJ036LP729F6A0YGC" localSheetId="18" hidden="1">'[38]10.08.4 -2008 Capital'!#REF!</definedName>
    <definedName name="BExD4440VK5VJ036LP729F6A0YGC" hidden="1">'[38]10.08.4 -2008 Capital'!#REF!</definedName>
    <definedName name="BExD4BLRYNKM0GO3B3KP6590EN75" localSheetId="18" hidden="1">#REF!</definedName>
    <definedName name="BExD4BLRYNKM0GO3B3KP6590EN75" hidden="1">#REF!</definedName>
    <definedName name="BExD4BR9HJ3MWWZ5KLVZWX9FJAUS" localSheetId="18" hidden="1">#REF!</definedName>
    <definedName name="BExD4BR9HJ3MWWZ5KLVZWX9FJAUS" hidden="1">#REF!</definedName>
    <definedName name="BExD4CYDIFKUQ00ORL8MH1G8AEOH" localSheetId="18" hidden="1">#REF!</definedName>
    <definedName name="BExD4CYDIFKUQ00ORL8MH1G8AEOH" hidden="1">#REF!</definedName>
    <definedName name="BExD4F1WTKT3H0N9MF4H1LX7MBSY" localSheetId="18" hidden="1">#REF!</definedName>
    <definedName name="BExD4F1WTKT3H0N9MF4H1LX7MBSY" hidden="1">#REF!</definedName>
    <definedName name="BExD4H5GQWXBS6LUL3TSP36DVO38" localSheetId="18" hidden="1">#REF!</definedName>
    <definedName name="BExD4H5GQWXBS6LUL3TSP36DVO38" hidden="1">#REF!</definedName>
    <definedName name="BExD4JJSS3QDBLABCJCHD45SRNPI" localSheetId="18" hidden="1">#REF!</definedName>
    <definedName name="BExD4JJSS3QDBLABCJCHD45SRNPI" hidden="1">#REF!</definedName>
    <definedName name="BExD4R1I0MKF033I5LPUYIMTZ6E8" localSheetId="18" hidden="1">#REF!</definedName>
    <definedName name="BExD4R1I0MKF033I5LPUYIMTZ6E8" hidden="1">#REF!</definedName>
    <definedName name="BExD4ZQEW7F25SBOT6GFHWYONPD2" localSheetId="18" hidden="1">'[38]10.08.2 - 2008 Expense'!#REF!</definedName>
    <definedName name="BExD4ZQEW7F25SBOT6GFHWYONPD2" hidden="1">'[38]10.08.2 - 2008 Expense'!#REF!</definedName>
    <definedName name="BExD50MT3M6XZLNUP9JL93EG6D9R" localSheetId="18" hidden="1">#REF!</definedName>
    <definedName name="BExD50MT3M6XZLNUP9JL93EG6D9R" hidden="1">#REF!</definedName>
    <definedName name="BExD58FB2E94KZRKVS2HR2X2RPON" localSheetId="18" hidden="1">#REF!</definedName>
    <definedName name="BExD58FB2E94KZRKVS2HR2X2RPON" hidden="1">#REF!</definedName>
    <definedName name="BExD5EV7KDSVF1CJT38M4IBPFLPY" localSheetId="18" hidden="1">#REF!</definedName>
    <definedName name="BExD5EV7KDSVF1CJT38M4IBPFLPY" hidden="1">#REF!</definedName>
    <definedName name="BExD5FRK547OESJRYAW574DZEZ7J" localSheetId="18" hidden="1">#REF!</definedName>
    <definedName name="BExD5FRK547OESJRYAW574DZEZ7J" hidden="1">#REF!</definedName>
    <definedName name="BExD5I5X2YA2YNCTCDSMEL4CWF4N" localSheetId="18" hidden="1">#REF!</definedName>
    <definedName name="BExD5I5X2YA2YNCTCDSMEL4CWF4N" hidden="1">#REF!</definedName>
    <definedName name="BExD5LGLIOQ0OLD32Y77OQHSFA20" localSheetId="18" hidden="1">#REF!</definedName>
    <definedName name="BExD5LGLIOQ0OLD32Y77OQHSFA20" hidden="1">#REF!</definedName>
    <definedName name="BExD5QUSRFJWRQ1ZM50WYLCF74DF" localSheetId="18" hidden="1">#REF!</definedName>
    <definedName name="BExD5QUSRFJWRQ1ZM50WYLCF74DF" hidden="1">#REF!</definedName>
    <definedName name="BExD5SSUIF6AJQHBHK8PNMFBPRYB" localSheetId="18" hidden="1">#REF!</definedName>
    <definedName name="BExD5SSUIF6AJQHBHK8PNMFBPRYB" hidden="1">#REF!</definedName>
    <definedName name="BExD623C9LRX18BE0W2V6SZLQUXX" localSheetId="18" hidden="1">#REF!</definedName>
    <definedName name="BExD623C9LRX18BE0W2V6SZLQUXX" hidden="1">#REF!</definedName>
    <definedName name="BExD6CQA7UMJBXV7AIFAIHUF2ICX" localSheetId="18" hidden="1">#REF!</definedName>
    <definedName name="BExD6CQA7UMJBXV7AIFAIHUF2ICX" hidden="1">#REF!</definedName>
    <definedName name="BExD6FKVK8WJWNYPVENR7Q8Q30PK" localSheetId="18" hidden="1">#REF!</definedName>
    <definedName name="BExD6FKVK8WJWNYPVENR7Q8Q30PK" hidden="1">#REF!</definedName>
    <definedName name="BExD6GMP0LK8WKVWMIT1NNH8CHLF" localSheetId="18" hidden="1">#REF!</definedName>
    <definedName name="BExD6GMP0LK8WKVWMIT1NNH8CHLF" hidden="1">#REF!</definedName>
    <definedName name="BExD6H2TE0WWAUIWVSSCLPZ6B88N" localSheetId="18" hidden="1">#REF!</definedName>
    <definedName name="BExD6H2TE0WWAUIWVSSCLPZ6B88N" hidden="1">#REF!</definedName>
    <definedName name="BExD6IKQHK6BAYQM4S5BEVL56Z8X" localSheetId="18" hidden="1">#REF!</definedName>
    <definedName name="BExD6IKQHK6BAYQM4S5BEVL56Z8X" hidden="1">#REF!</definedName>
    <definedName name="BExD71LTOE015TV5RSAHM8NT8GVW" localSheetId="18" hidden="1">#REF!</definedName>
    <definedName name="BExD71LTOE015TV5RSAHM8NT8GVW" hidden="1">#REF!</definedName>
    <definedName name="BExD73USXVADC7EHGHVTQNCT06ZA" localSheetId="18" hidden="1">#REF!</definedName>
    <definedName name="BExD73USXVADC7EHGHVTQNCT06ZA" hidden="1">#REF!</definedName>
    <definedName name="BExD7BHVRBZ6463MAK6KNCZQQAZL" localSheetId="18" hidden="1">#REF!</definedName>
    <definedName name="BExD7BHVRBZ6463MAK6KNCZQQAZL" hidden="1">#REF!</definedName>
    <definedName name="BExD7GAI1HJ9MD4ZU26MDRDS4E2B" localSheetId="18" hidden="1">#REF!</definedName>
    <definedName name="BExD7GAI1HJ9MD4ZU26MDRDS4E2B" hidden="1">#REF!</definedName>
    <definedName name="BExD7GAIGULTB3YHM1OS9RBQOTEC" localSheetId="18" hidden="1">#REF!</definedName>
    <definedName name="BExD7GAIGULTB3YHM1OS9RBQOTEC" hidden="1">#REF!</definedName>
    <definedName name="BExD7IE1DHIS52UFDCTSKPJQNRD5" localSheetId="18" hidden="1">#REF!</definedName>
    <definedName name="BExD7IE1DHIS52UFDCTSKPJQNRD5" hidden="1">#REF!</definedName>
    <definedName name="BExD7IUBGUWHYC9UNZ1IY5XFYKQN" localSheetId="18" hidden="1">#REF!</definedName>
    <definedName name="BExD7IUBGUWHYC9UNZ1IY5XFYKQN" hidden="1">#REF!</definedName>
    <definedName name="BExD7JQOJ35HGL8U2OCEI2P2JT7I" localSheetId="18" hidden="1">#REF!</definedName>
    <definedName name="BExD7JQOJ35HGL8U2OCEI2P2JT7I" hidden="1">#REF!</definedName>
    <definedName name="BExD7KSDKNDNH95NDT3S7GM3MUU2" localSheetId="18" hidden="1">#REF!</definedName>
    <definedName name="BExD7KSDKNDNH95NDT3S7GM3MUU2" hidden="1">#REF!</definedName>
    <definedName name="BExD7N6P5ERNDX7C0TYFQOP08EQQ" localSheetId="18" hidden="1">#REF!</definedName>
    <definedName name="BExD7N6P5ERNDX7C0TYFQOP08EQQ" hidden="1">#REF!</definedName>
    <definedName name="BExD87EVTIE7IAHSBAD70MNJUTK8" localSheetId="18" hidden="1">#REF!</definedName>
    <definedName name="BExD87EVTIE7IAHSBAD70MNJUTK8" hidden="1">#REF!</definedName>
    <definedName name="BExD8H5O087KQVWIVPUUID5VMGMS" localSheetId="18" hidden="1">#REF!</definedName>
    <definedName name="BExD8H5O087KQVWIVPUUID5VMGMS" hidden="1">#REF!</definedName>
    <definedName name="BExD8OCLZMFN5K3VZYI4Q4ITVKUA" localSheetId="18" hidden="1">#REF!</definedName>
    <definedName name="BExD8OCLZMFN5K3VZYI4Q4ITVKUA" hidden="1">#REF!</definedName>
    <definedName name="BExD8UY01RLLF0MGPUZLE6EXR9AC" localSheetId="18" hidden="1">#REF!</definedName>
    <definedName name="BExD8UY01RLLF0MGPUZLE6EXR9AC" hidden="1">#REF!</definedName>
    <definedName name="BExD90MZC8CFEENJPJGQXGWBZL33" localSheetId="18" hidden="1">#REF!</definedName>
    <definedName name="BExD90MZC8CFEENJPJGQXGWBZL33" hidden="1">#REF!</definedName>
    <definedName name="BExD93C1R6LC0631ECHVFYH0R0PD" localSheetId="18" hidden="1">#REF!</definedName>
    <definedName name="BExD93C1R6LC0631ECHVFYH0R0PD" hidden="1">#REF!</definedName>
    <definedName name="BExD97TXIO0COVNN4OH3DEJ33YLM" localSheetId="18" hidden="1">#REF!</definedName>
    <definedName name="BExD97TXIO0COVNN4OH3DEJ33YLM" hidden="1">#REF!</definedName>
    <definedName name="BExD99RZ1RFIMK6O1ZHSPJ68X9Y5" localSheetId="18" hidden="1">#REF!</definedName>
    <definedName name="BExD99RZ1RFIMK6O1ZHSPJ68X9Y5" hidden="1">#REF!</definedName>
    <definedName name="BExD9C0ZMLX1WR2QR1YPWX15IH8W" localSheetId="18" hidden="1">'[38]10.08.3 - 2008 Expense - TDBU'!#REF!</definedName>
    <definedName name="BExD9C0ZMLX1WR2QR1YPWX15IH8W" hidden="1">'[38]10.08.3 - 2008 Expense - TDBU'!#REF!</definedName>
    <definedName name="BExD9L0ID3VSOU609GKWYTA5BFMA" localSheetId="18" hidden="1">#REF!</definedName>
    <definedName name="BExD9L0ID3VSOU609GKWYTA5BFMA" hidden="1">#REF!</definedName>
    <definedName name="BExD9M7SEMG0JK2FUTTZXWIEBTKB" localSheetId="18" hidden="1">#REF!</definedName>
    <definedName name="BExD9M7SEMG0JK2FUTTZXWIEBTKB" hidden="1">#REF!</definedName>
    <definedName name="BExD9MNYBYB1AICQL5165G472IE2" localSheetId="18" hidden="1">#REF!</definedName>
    <definedName name="BExD9MNYBYB1AICQL5165G472IE2" hidden="1">#REF!</definedName>
    <definedName name="BExD9PNSYT7GASEGUVL48MUQ02WO" localSheetId="18" hidden="1">#REF!</definedName>
    <definedName name="BExD9PNSYT7GASEGUVL48MUQ02WO" hidden="1">#REF!</definedName>
    <definedName name="BExD9TK2MIWFH5SKUYU9ZKF4NPHQ" localSheetId="18" hidden="1">#REF!</definedName>
    <definedName name="BExD9TK2MIWFH5SKUYU9ZKF4NPHQ" hidden="1">#REF!</definedName>
    <definedName name="BExDA2JS3GCJ8M5I4XF4ZMYZ4BXT" localSheetId="18" hidden="1">#REF!</definedName>
    <definedName name="BExDA2JS3GCJ8M5I4XF4ZMYZ4BXT" hidden="1">#REF!</definedName>
    <definedName name="BExDA6LD9061UULVKUUI4QP8SK13" localSheetId="18" hidden="1">#REF!</definedName>
    <definedName name="BExDA6LD9061UULVKUUI4QP8SK13" hidden="1">#REF!</definedName>
    <definedName name="BExDA7SHULP5GGGVSZFK3FMN833U" localSheetId="18" hidden="1">#REF!</definedName>
    <definedName name="BExDA7SHULP5GGGVSZFK3FMN833U" hidden="1">#REF!</definedName>
    <definedName name="BExDABE0KA94036RVJKMXL7GB30N" localSheetId="18" hidden="1">#REF!</definedName>
    <definedName name="BExDABE0KA94036RVJKMXL7GB30N" hidden="1">#REF!</definedName>
    <definedName name="BExDAGMVMNLQ6QXASB9R6D8DIT12" localSheetId="18" hidden="1">#REF!</definedName>
    <definedName name="BExDAGMVMNLQ6QXASB9R6D8DIT12" hidden="1">#REF!</definedName>
    <definedName name="BExDAYBHU9ADLXI8VRC7F608RVGM" localSheetId="18" hidden="1">#REF!</definedName>
    <definedName name="BExDAYBHU9ADLXI8VRC7F608RVGM" hidden="1">#REF!</definedName>
    <definedName name="BExDBDR1XR0FV0CYUCB2OJ7CJCZU" localSheetId="18" hidden="1">#REF!</definedName>
    <definedName name="BExDBDR1XR0FV0CYUCB2OJ7CJCZU" hidden="1">#REF!</definedName>
    <definedName name="BExDBO8QK1FUFVLO07NZ0BZ9BKA0" localSheetId="18" hidden="1">#REF!</definedName>
    <definedName name="BExDBO8QK1FUFVLO07NZ0BZ9BKA0" hidden="1">#REF!</definedName>
    <definedName name="BExDBRJDI7W1042W6UYNA12BZGBJ" localSheetId="18" hidden="1">#REF!</definedName>
    <definedName name="BExDBRJDI7W1042W6UYNA12BZGBJ" hidden="1">#REF!</definedName>
    <definedName name="BExDBY4R8EXLUENLCDFC4YRRVQPS" localSheetId="18" hidden="1">#REF!</definedName>
    <definedName name="BExDBY4R8EXLUENLCDFC4YRRVQPS" hidden="1">#REF!</definedName>
    <definedName name="BExDC7F818VN0S18ID7XRCRVYPJ4" localSheetId="18" hidden="1">#REF!</definedName>
    <definedName name="BExDC7F818VN0S18ID7XRCRVYPJ4" hidden="1">#REF!</definedName>
    <definedName name="BExDCL7K96PC9VZYB70ZW3QPVIJE" localSheetId="18" hidden="1">#REF!</definedName>
    <definedName name="BExDCL7K96PC9VZYB70ZW3QPVIJE" hidden="1">#REF!</definedName>
    <definedName name="BExDCP3UZ3C2O4C1F7KMU0Z9U32N" localSheetId="18" hidden="1">#REF!</definedName>
    <definedName name="BExDCP3UZ3C2O4C1F7KMU0Z9U32N" hidden="1">#REF!</definedName>
    <definedName name="BExEOBX3WECDMYCV9RLN49APTXMM" localSheetId="18" hidden="1">#REF!</definedName>
    <definedName name="BExEOBX3WECDMYCV9RLN49APTXMM" hidden="1">#REF!</definedName>
    <definedName name="BExEOKLZRPEMPJO02S4EGHZXAWN3" localSheetId="18" hidden="1">#REF!</definedName>
    <definedName name="BExEOKLZRPEMPJO02S4EGHZXAWN3" hidden="1">#REF!</definedName>
    <definedName name="BExEP4E4F36662JDI0TOD85OP7X9" localSheetId="18" hidden="1">#REF!</definedName>
    <definedName name="BExEP4E4F36662JDI0TOD85OP7X9" hidden="1">#REF!</definedName>
    <definedName name="BExEPN9VIYI0FVL0HLZQXJFO6TT0" localSheetId="18" hidden="1">#REF!</definedName>
    <definedName name="BExEPN9VIYI0FVL0HLZQXJFO6TT0" hidden="1">#REF!</definedName>
    <definedName name="BExEPYT6VDSMR8MU2341Q5GM2Y9V" localSheetId="18" hidden="1">#REF!</definedName>
    <definedName name="BExEPYT6VDSMR8MU2341Q5GM2Y9V" hidden="1">#REF!</definedName>
    <definedName name="BExEQ2ENYLMY8K1796XBB31CJHNN" localSheetId="18" hidden="1">#REF!</definedName>
    <definedName name="BExEQ2ENYLMY8K1796XBB31CJHNN" hidden="1">#REF!</definedName>
    <definedName name="BExEQ2PFE4N40LEPGDPS90WDL6BN" localSheetId="18" hidden="1">#REF!</definedName>
    <definedName name="BExEQ2PFE4N40LEPGDPS90WDL6BN" hidden="1">#REF!</definedName>
    <definedName name="BExEQ2PFURT24NQYGYVE8NKX1EGA" localSheetId="18" hidden="1">#REF!</definedName>
    <definedName name="BExEQ2PFURT24NQYGYVE8NKX1EGA" hidden="1">#REF!</definedName>
    <definedName name="BExEQB8ZWXO6IIGOEPWTLOJGE2NR" localSheetId="18" hidden="1">#REF!</definedName>
    <definedName name="BExEQB8ZWXO6IIGOEPWTLOJGE2NR" hidden="1">#REF!</definedName>
    <definedName name="BExEQBZX0EL6LIKPY01197ACK65H" localSheetId="18" hidden="1">#REF!</definedName>
    <definedName name="BExEQBZX0EL6LIKPY01197ACK65H" hidden="1">#REF!</definedName>
    <definedName name="BExEQDXZALJLD4OBF74IKZBR13SR" localSheetId="18" hidden="1">#REF!</definedName>
    <definedName name="BExEQDXZALJLD4OBF74IKZBR13SR" hidden="1">#REF!</definedName>
    <definedName name="BExEQE3GC6W9CGTSGR7X502XUI5L" localSheetId="18" hidden="1">#REF!</definedName>
    <definedName name="BExEQE3GC6W9CGTSGR7X502XUI5L" hidden="1">#REF!</definedName>
    <definedName name="BExEQFLE2RPWGMWQAI4JMKUEFRPT" localSheetId="18" hidden="1">#REF!</definedName>
    <definedName name="BExEQFLE2RPWGMWQAI4JMKUEFRPT" hidden="1">#REF!</definedName>
    <definedName name="BExEQK38GYRBUH7XFJUH04UET47Q" localSheetId="18" hidden="1">#REF!</definedName>
    <definedName name="BExEQK38GYRBUH7XFJUH04UET47Q" hidden="1">#REF!</definedName>
    <definedName name="BExEQKE1O2TX2P7ZGJMB9VWDXWO4" localSheetId="18" hidden="1">#REF!</definedName>
    <definedName name="BExEQKE1O2TX2P7ZGJMB9VWDXWO4" hidden="1">#REF!</definedName>
    <definedName name="BExEQTZAP8R69U31W4LKGTKKGKQE" localSheetId="18" hidden="1">#REF!</definedName>
    <definedName name="BExEQTZAP8R69U31W4LKGTKKGKQE" hidden="1">#REF!</definedName>
    <definedName name="BExEQU4RR1SZE5XJ90D8ZQ8KRZFG" localSheetId="18" hidden="1">#REF!</definedName>
    <definedName name="BExEQU4RR1SZE5XJ90D8ZQ8KRZFG" hidden="1">#REF!</definedName>
    <definedName name="BExER2O72H1F9WV6S1J04C15PXX7" localSheetId="18" hidden="1">#REF!</definedName>
    <definedName name="BExER2O72H1F9WV6S1J04C15PXX7" hidden="1">#REF!</definedName>
    <definedName name="BExERFEPB2LP5DWH3DNZJF8R0AK9" localSheetId="18" hidden="1">#REF!</definedName>
    <definedName name="BExERFEPB2LP5DWH3DNZJF8R0AK9" hidden="1">#REF!</definedName>
    <definedName name="BExERRUIKIOATPZ9U4HQ0V52RJAU" localSheetId="18" hidden="1">#REF!</definedName>
    <definedName name="BExERRUIKIOATPZ9U4HQ0V52RJAU" hidden="1">#REF!</definedName>
    <definedName name="BExERSANFNM1O7T65PC5MJ301YET" localSheetId="18" hidden="1">#REF!</definedName>
    <definedName name="BExERSANFNM1O7T65PC5MJ301YET" hidden="1">#REF!</definedName>
    <definedName name="BExERTNAJZ59DKI5JCRPJKMWW067" localSheetId="18" hidden="1">#REF!</definedName>
    <definedName name="BExERTNAJZ59DKI5JCRPJKMWW067" hidden="1">#REF!</definedName>
    <definedName name="BExERWCEBKQRYWRQLYJ4UCMMKTHG" localSheetId="18" hidden="1">[39]Table!#REF!</definedName>
    <definedName name="BExERWCEBKQRYWRQLYJ4UCMMKTHG" hidden="1">[39]Table!#REF!</definedName>
    <definedName name="BExES1QK2RJM42AWEVW7RIMFEW0F" localSheetId="18" hidden="1">#REF!</definedName>
    <definedName name="BExES1QK2RJM42AWEVW7RIMFEW0F" hidden="1">#REF!</definedName>
    <definedName name="BExES44RHHDL3V7FLV6M20834WF1" localSheetId="18" hidden="1">#REF!</definedName>
    <definedName name="BExES44RHHDL3V7FLV6M20834WF1" hidden="1">#REF!</definedName>
    <definedName name="BExES4A7VE2X3RYYTVRLKZD4I7WU" localSheetId="18" hidden="1">#REF!</definedName>
    <definedName name="BExES4A7VE2X3RYYTVRLKZD4I7WU" hidden="1">#REF!</definedName>
    <definedName name="BExES6ZC8R7PHJ21OVJFLIR7DY30" localSheetId="18" hidden="1">#REF!</definedName>
    <definedName name="BExES6ZC8R7PHJ21OVJFLIR7DY30" hidden="1">#REF!</definedName>
    <definedName name="BExESEH25TCNEETUCSRK8DYHROYY" localSheetId="18" hidden="1">#REF!</definedName>
    <definedName name="BExESEH25TCNEETUCSRK8DYHROYY" hidden="1">#REF!</definedName>
    <definedName name="BExESMKD95A649M0WRSG6CXXP326" localSheetId="18" hidden="1">#REF!</definedName>
    <definedName name="BExESMKD95A649M0WRSG6CXXP326" hidden="1">#REF!</definedName>
    <definedName name="BExESR27ZXJG5VMY4PR9D940VS7T" localSheetId="18" hidden="1">#REF!</definedName>
    <definedName name="BExESR27ZXJG5VMY4PR9D940VS7T" hidden="1">#REF!</definedName>
    <definedName name="BExESZ03KXL8DQ2591HLR56ZML94" localSheetId="18" hidden="1">#REF!</definedName>
    <definedName name="BExESZ03KXL8DQ2591HLR56ZML94" hidden="1">#REF!</definedName>
    <definedName name="BExESZAW5N443NRTKIP59OEI1CR6" localSheetId="18" hidden="1">#REF!</definedName>
    <definedName name="BExESZAW5N443NRTKIP59OEI1CR6" hidden="1">#REF!</definedName>
    <definedName name="BExET3HXQ60A4O2OLKX8QNXRI6LQ" localSheetId="18" hidden="1">#REF!</definedName>
    <definedName name="BExET3HXQ60A4O2OLKX8QNXRI6LQ" hidden="1">#REF!</definedName>
    <definedName name="BExET3SPX08PMIJ6NN1UTG16Y6O2" localSheetId="18" hidden="1">#REF!</definedName>
    <definedName name="BExET3SPX08PMIJ6NN1UTG16Y6O2" hidden="1">#REF!</definedName>
    <definedName name="BExETA3B1FCIOA80H94K90FWXQKE" localSheetId="18" hidden="1">#REF!</definedName>
    <definedName name="BExETA3B1FCIOA80H94K90FWXQKE" hidden="1">#REF!</definedName>
    <definedName name="BExETAZOYT4CJIT8RRKC9F2HJG1D" localSheetId="18" hidden="1">#REF!</definedName>
    <definedName name="BExETAZOYT4CJIT8RRKC9F2HJG1D" hidden="1">#REF!</definedName>
    <definedName name="BExETDZJZBM897WV9SJ54R7KH7MG" localSheetId="18" hidden="1">#REF!</definedName>
    <definedName name="BExETDZJZBM897WV9SJ54R7KH7MG" hidden="1">#REF!</definedName>
    <definedName name="BExETDZKK8E89XXW4SLL9AY29YEZ" localSheetId="18" hidden="1">#REF!</definedName>
    <definedName name="BExETDZKK8E89XXW4SLL9AY29YEZ" hidden="1">#REF!</definedName>
    <definedName name="BExETF6QD5A9GEINE1KZRRC2LXWM" localSheetId="18" hidden="1">#REF!</definedName>
    <definedName name="BExETF6QD5A9GEINE1KZRRC2LXWM" hidden="1">#REF!</definedName>
    <definedName name="BExETQ9XRXLUACN82805SPSPNKHI" localSheetId="18" hidden="1">#REF!</definedName>
    <definedName name="BExETQ9XRXLUACN82805SPSPNKHI" hidden="1">#REF!</definedName>
    <definedName name="BExETR0YRMOR63E6DHLEHV9QVVON" localSheetId="18" hidden="1">#REF!</definedName>
    <definedName name="BExETR0YRMOR63E6DHLEHV9QVVON" hidden="1">#REF!</definedName>
    <definedName name="BExETU66ISCWFE06X0BBMH4H32HS" localSheetId="18" hidden="1">#REF!</definedName>
    <definedName name="BExETU66ISCWFE06X0BBMH4H32HS" hidden="1">#REF!</definedName>
    <definedName name="BExETVTGY38YXYYF7N73OYN6FYY3" localSheetId="18" hidden="1">#REF!</definedName>
    <definedName name="BExETVTGY38YXYYF7N73OYN6FYY3" hidden="1">#REF!</definedName>
    <definedName name="BExEUNE4T242Y59C6MS28MXEUGCP" localSheetId="18" hidden="1">#REF!</definedName>
    <definedName name="BExEUNE4T242Y59C6MS28MXEUGCP" hidden="1">#REF!</definedName>
    <definedName name="BExEV1H9B1FRT8LPRHN7ODLAOI8T" localSheetId="18" hidden="1">'[38]10.08.4 -2008 Capital'!#REF!</definedName>
    <definedName name="BExEV1H9B1FRT8LPRHN7ODLAOI8T" hidden="1">'[38]10.08.4 -2008 Capital'!#REF!</definedName>
    <definedName name="BExEV2TP7NA3ZR6RJGH5ER370OUM" localSheetId="18" hidden="1">#REF!</definedName>
    <definedName name="BExEV2TP7NA3ZR6RJGH5ER370OUM" hidden="1">#REF!</definedName>
    <definedName name="BExEV69USLNYO2QRJRC0J92XUF00" localSheetId="18" hidden="1">#REF!</definedName>
    <definedName name="BExEV69USLNYO2QRJRC0J92XUF00" hidden="1">#REF!</definedName>
    <definedName name="BExEV6KNTQOCFD7GV726XQEVQ7R6" localSheetId="18" hidden="1">#REF!</definedName>
    <definedName name="BExEV6KNTQOCFD7GV726XQEVQ7R6" hidden="1">#REF!</definedName>
    <definedName name="BExEV6VGM4POO9QT9KH3QA3VYCWM" localSheetId="18" hidden="1">#REF!</definedName>
    <definedName name="BExEV6VGM4POO9QT9KH3QA3VYCWM" hidden="1">#REF!</definedName>
    <definedName name="BExEV7MBFVP1I7TO351C06LT5IXR" localSheetId="18" hidden="1">#REF!</definedName>
    <definedName name="BExEV7MBFVP1I7TO351C06LT5IXR" hidden="1">#REF!</definedName>
    <definedName name="BExEVET98G3FU6QBF9LHYWSAMV0O" localSheetId="18" hidden="1">#REF!</definedName>
    <definedName name="BExEVET98G3FU6QBF9LHYWSAMV0O" hidden="1">#REF!</definedName>
    <definedName name="BExEVNCUT0PDUYNJH7G6BSEWZOT2" localSheetId="18" hidden="1">#REF!</definedName>
    <definedName name="BExEVNCUT0PDUYNJH7G6BSEWZOT2" hidden="1">#REF!</definedName>
    <definedName name="BExEVPGF4V5J0WQRZKUM8F9TTKZJ" localSheetId="18" hidden="1">#REF!</definedName>
    <definedName name="BExEVPGF4V5J0WQRZKUM8F9TTKZJ" hidden="1">#REF!</definedName>
    <definedName name="BExEVPWH8S9GER9M14SPIT6XZ8SG" localSheetId="18" hidden="1">#REF!</definedName>
    <definedName name="BExEVPWH8S9GER9M14SPIT6XZ8SG" hidden="1">#REF!</definedName>
    <definedName name="BExEVSLKRULT27602UIM13PGVL2R" localSheetId="18" hidden="1">#REF!</definedName>
    <definedName name="BExEVSLKRULT27602UIM13PGVL2R" hidden="1">#REF!</definedName>
    <definedName name="BExEVVLIEVWYRF2UUC1H0H5QU1CP" localSheetId="18" hidden="1">#REF!</definedName>
    <definedName name="BExEVVLIEVWYRF2UUC1H0H5QU1CP" hidden="1">#REF!</definedName>
    <definedName name="BExEVWCKO8T84GW9Z3X47915XKSH" localSheetId="18" hidden="1">#REF!</definedName>
    <definedName name="BExEVWCKO8T84GW9Z3X47915XKSH" hidden="1">#REF!</definedName>
    <definedName name="BExEVZSJWMZ5L2ZE7AZC57CXKW6T" localSheetId="18" hidden="1">#REF!</definedName>
    <definedName name="BExEVZSJWMZ5L2ZE7AZC57CXKW6T" hidden="1">#REF!</definedName>
    <definedName name="BExEW0JL1GFFCXMDGW54CI7Y8FZN" localSheetId="18" hidden="1">#REF!</definedName>
    <definedName name="BExEW0JL1GFFCXMDGW54CI7Y8FZN" hidden="1">#REF!</definedName>
    <definedName name="BExEW5SCJJRAF57MFJ81MB2U6K1N" localSheetId="18" hidden="1">'[38]10.08.4 -2008 Capital'!#REF!</definedName>
    <definedName name="BExEW5SCJJRAF57MFJ81MB2U6K1N" hidden="1">'[38]10.08.4 -2008 Capital'!#REF!</definedName>
    <definedName name="BExEW68M9WL8214QH9C7VCK7BN08" localSheetId="18" hidden="1">#REF!</definedName>
    <definedName name="BExEW68M9WL8214QH9C7VCK7BN08" hidden="1">#REF!</definedName>
    <definedName name="BExEW8C5SY1NQL4BKYZVXQ6JPR0W" localSheetId="18" hidden="1">#REF!</definedName>
    <definedName name="BExEW8C5SY1NQL4BKYZVXQ6JPR0W" hidden="1">#REF!</definedName>
    <definedName name="BExEW8HFKH6F47KIHYBDRUEFZ2ZZ" localSheetId="18" hidden="1">#REF!</definedName>
    <definedName name="BExEW8HFKH6F47KIHYBDRUEFZ2ZZ" hidden="1">#REF!</definedName>
    <definedName name="BExEWLO75K95C6IRKHXSP7VP81T4" localSheetId="18" hidden="1">#REF!</definedName>
    <definedName name="BExEWLO75K95C6IRKHXSP7VP81T4" hidden="1">#REF!</definedName>
    <definedName name="BExEWNBGQS1U2LW3W84T4LSJ9K00" localSheetId="18" hidden="1">#REF!</definedName>
    <definedName name="BExEWNBGQS1U2LW3W84T4LSJ9K00" hidden="1">#REF!</definedName>
    <definedName name="BExEWO7STL7HNZSTY8VQBPTX1WK6" localSheetId="18" hidden="1">#REF!</definedName>
    <definedName name="BExEWO7STL7HNZSTY8VQBPTX1WK6" hidden="1">#REF!</definedName>
    <definedName name="BExEWQ0M1N3KMKTDJ73H10QSG4W1" localSheetId="18" hidden="1">#REF!</definedName>
    <definedName name="BExEWQ0M1N3KMKTDJ73H10QSG4W1" hidden="1">#REF!</definedName>
    <definedName name="BExEWRTB911TBBZNA61Y44XXUP7N" localSheetId="18" hidden="1">#REF!</definedName>
    <definedName name="BExEWRTB911TBBZNA61Y44XXUP7N" hidden="1">#REF!</definedName>
    <definedName name="BExEWY3WYCWEMX9F15OWWUSC6ITZ" localSheetId="18" hidden="1">#REF!</definedName>
    <definedName name="BExEWY3WYCWEMX9F15OWWUSC6ITZ" hidden="1">#REF!</definedName>
    <definedName name="BExEX25M63XO5LQD9ZS2VHQ0U8SR" localSheetId="18" hidden="1">#REF!</definedName>
    <definedName name="BExEX25M63XO5LQD9ZS2VHQ0U8SR" hidden="1">#REF!</definedName>
    <definedName name="BExEX85F3OSW8NSCYGYPS9372Z1Q" localSheetId="18" hidden="1">#REF!</definedName>
    <definedName name="BExEX85F3OSW8NSCYGYPS9372Z1Q" hidden="1">#REF!</definedName>
    <definedName name="BExEX9HWY2G6928ZVVVQF77QCM2C" localSheetId="18" hidden="1">#REF!</definedName>
    <definedName name="BExEX9HWY2G6928ZVVVQF77QCM2C" hidden="1">#REF!</definedName>
    <definedName name="BExEXBQWAYKMVBRJRHB8PFCSYFVN" localSheetId="18" hidden="1">#REF!</definedName>
    <definedName name="BExEXBQWAYKMVBRJRHB8PFCSYFVN" hidden="1">#REF!</definedName>
    <definedName name="BExEXRBZ0DI9E2UFLLKYWGN66B61" localSheetId="18" hidden="1">#REF!</definedName>
    <definedName name="BExEXRBZ0DI9E2UFLLKYWGN66B61" hidden="1">#REF!</definedName>
    <definedName name="BExEY3GVGXSA8OTWWVC0OOM3N7EO" localSheetId="18" hidden="1">#REF!</definedName>
    <definedName name="BExEY3GVGXSA8OTWWVC0OOM3N7EO" hidden="1">#REF!</definedName>
    <definedName name="BExEYLG9FL9V1JPPNZ3FUDNSEJ4V" localSheetId="18" hidden="1">#REF!</definedName>
    <definedName name="BExEYLG9FL9V1JPPNZ3FUDNSEJ4V" hidden="1">#REF!</definedName>
    <definedName name="BExEYOW8C1B3OUUCIGEC7L8OOW1Z" localSheetId="18" hidden="1">#REF!</definedName>
    <definedName name="BExEYOW8C1B3OUUCIGEC7L8OOW1Z" hidden="1">#REF!</definedName>
    <definedName name="BExEYUQJXZT6N5HJH8ACJF6SRWEE" localSheetId="18" hidden="1">#REF!</definedName>
    <definedName name="BExEYUQJXZT6N5HJH8ACJF6SRWEE" hidden="1">#REF!</definedName>
    <definedName name="BExEZ1S6VZCG01ZPLBSS9Z1SBOJ2" localSheetId="18" hidden="1">#REF!</definedName>
    <definedName name="BExEZ1S6VZCG01ZPLBSS9Z1SBOJ2" hidden="1">#REF!</definedName>
    <definedName name="BExEZGBFNJR8DLPN0V11AU22L6WY" localSheetId="18" hidden="1">#REF!</definedName>
    <definedName name="BExEZGBFNJR8DLPN0V11AU22L6WY" hidden="1">#REF!</definedName>
    <definedName name="BExF02Y3V3QEPO2XLDSK47APK9XJ" localSheetId="18" hidden="1">#REF!</definedName>
    <definedName name="BExF02Y3V3QEPO2XLDSK47APK9XJ" hidden="1">#REF!</definedName>
    <definedName name="BExF09OS91RT7N7IW8JLMZ121ZP3" localSheetId="18" hidden="1">#REF!</definedName>
    <definedName name="BExF09OS91RT7N7IW8JLMZ121ZP3" hidden="1">#REF!</definedName>
    <definedName name="BExF0JFE12J96ZPQZ2WHQZ66M1PC" localSheetId="18" hidden="1">#REF!</definedName>
    <definedName name="BExF0JFE12J96ZPQZ2WHQZ66M1PC" hidden="1">#REF!</definedName>
    <definedName name="BExF0LOEHV42P2DV7QL8O7HOQ3N9" localSheetId="18" hidden="1">#REF!</definedName>
    <definedName name="BExF0LOEHV42P2DV7QL8O7HOQ3N9" hidden="1">#REF!</definedName>
    <definedName name="BExF0MVJ4YGAIOT97BSBZTKKMJLO" localSheetId="18" hidden="1">#REF!</definedName>
    <definedName name="BExF0MVJ4YGAIOT97BSBZTKKMJLO" hidden="1">#REF!</definedName>
    <definedName name="BExF0WRM9VO25RLSO03ZOCE8H7K5" localSheetId="18" hidden="1">#REF!</definedName>
    <definedName name="BExF0WRM9VO25RLSO03ZOCE8H7K5" hidden="1">#REF!</definedName>
    <definedName name="BExF0ZRI7W4RSLIDLHTSM0AWXO3S" localSheetId="18" hidden="1">#REF!</definedName>
    <definedName name="BExF0ZRI7W4RSLIDLHTSM0AWXO3S" hidden="1">#REF!</definedName>
    <definedName name="BExF15RBGKENVWZEFUPEK40YBRA7" localSheetId="18" hidden="1">#REF!</definedName>
    <definedName name="BExF15RBGKENVWZEFUPEK40YBRA7" hidden="1">#REF!</definedName>
    <definedName name="BExF19CT3MMZZ2T5EWMDNG3UOJ01" localSheetId="18" hidden="1">#REF!</definedName>
    <definedName name="BExF19CT3MMZZ2T5EWMDNG3UOJ01" hidden="1">#REF!</definedName>
    <definedName name="BExF1I6ZCNOTATBG3PZ1RGSJ7JEC" localSheetId="18" hidden="1">#REF!</definedName>
    <definedName name="BExF1I6ZCNOTATBG3PZ1RGSJ7JEC" hidden="1">#REF!</definedName>
    <definedName name="BExF1M38U6NX17YJA8YU359B5Z4M" localSheetId="18" hidden="1">#REF!</definedName>
    <definedName name="BExF1M38U6NX17YJA8YU359B5Z4M" hidden="1">#REF!</definedName>
    <definedName name="BExF1MU4W3NPEY0OHRDWP5IANCBB" localSheetId="18" hidden="1">#REF!</definedName>
    <definedName name="BExF1MU4W3NPEY0OHRDWP5IANCBB" hidden="1">#REF!</definedName>
    <definedName name="BExF1MZN8MWMOKOARHJ1QAF9HPGT" localSheetId="18" hidden="1">#REF!</definedName>
    <definedName name="BExF1MZN8MWMOKOARHJ1QAF9HPGT" hidden="1">#REF!</definedName>
    <definedName name="BExF1US4ZIQYSU5LBFYNRA9N0K2O" localSheetId="18" hidden="1">#REF!</definedName>
    <definedName name="BExF1US4ZIQYSU5LBFYNRA9N0K2O" hidden="1">#REF!</definedName>
    <definedName name="BExF1Z9Z270BYA12GL2T6GSF2ZTY" localSheetId="18" hidden="1">#REF!</definedName>
    <definedName name="BExF1Z9Z270BYA12GL2T6GSF2ZTY" hidden="1">#REF!</definedName>
    <definedName name="BExF29MBQUXJYOPZW1LVIKUJ4C01" localSheetId="18" hidden="1">#REF!</definedName>
    <definedName name="BExF29MBQUXJYOPZW1LVIKUJ4C01" hidden="1">#REF!</definedName>
    <definedName name="BExF2CWZN6E87RGTBMD4YQI2QT7R" localSheetId="18" hidden="1">#REF!</definedName>
    <definedName name="BExF2CWZN6E87RGTBMD4YQI2QT7R" hidden="1">#REF!</definedName>
    <definedName name="BExF2DYO1WQ7GMXSTAQRDBW1NSFG" localSheetId="18" hidden="1">#REF!</definedName>
    <definedName name="BExF2DYO1WQ7GMXSTAQRDBW1NSFG" hidden="1">#REF!</definedName>
    <definedName name="BExF2MSVB7MZZMDR2SCNEYJX21AU" localSheetId="18" hidden="1">#REF!</definedName>
    <definedName name="BExF2MSVB7MZZMDR2SCNEYJX21AU" hidden="1">#REF!</definedName>
    <definedName name="BExF2MSWNUY9Z6BZJQZ538PPTION" localSheetId="18" hidden="1">#REF!</definedName>
    <definedName name="BExF2MSWNUY9Z6BZJQZ538PPTION" hidden="1">#REF!</definedName>
    <definedName name="BExF2QZYWHTYGUTTXR15CKCV3LS7" localSheetId="18" hidden="1">#REF!</definedName>
    <definedName name="BExF2QZYWHTYGUTTXR15CKCV3LS7" hidden="1">#REF!</definedName>
    <definedName name="BExF2T8Y6TSJ74RMSZOA9CEH4OZ6" localSheetId="18" hidden="1">#REF!</definedName>
    <definedName name="BExF2T8Y6TSJ74RMSZOA9CEH4OZ6" hidden="1">#REF!</definedName>
    <definedName name="BExF31N3YM4F37EOOY8M8VI1KXN8" localSheetId="18" hidden="1">#REF!</definedName>
    <definedName name="BExF31N3YM4F37EOOY8M8VI1KXN8" hidden="1">#REF!</definedName>
    <definedName name="BExF37C1YKBT79Z9SOJAG5MXQGTU" localSheetId="18" hidden="1">#REF!</definedName>
    <definedName name="BExF37C1YKBT79Z9SOJAG5MXQGTU" hidden="1">#REF!</definedName>
    <definedName name="BExF3A6HPA6DGYALZNHHJPMCUYZR" localSheetId="18" hidden="1">#REF!</definedName>
    <definedName name="BExF3A6HPA6DGYALZNHHJPMCUYZR" hidden="1">#REF!</definedName>
    <definedName name="BExF3HDFSQD839XTC1DA8K1VHPZK" localSheetId="18" hidden="1">#REF!</definedName>
    <definedName name="BExF3HDFSQD839XTC1DA8K1VHPZK" hidden="1">#REF!</definedName>
    <definedName name="BExF3I9T44X7DV9HHV51DVDDPPZG" localSheetId="18" hidden="1">#REF!</definedName>
    <definedName name="BExF3I9T44X7DV9HHV51DVDDPPZG" hidden="1">#REF!</definedName>
    <definedName name="BExF3JMFX5DILOIFUDIO1HZUK875" localSheetId="18" hidden="1">#REF!</definedName>
    <definedName name="BExF3JMFX5DILOIFUDIO1HZUK875" hidden="1">#REF!</definedName>
    <definedName name="BExF3NO0RE1VBB19GCRR03V0B690" localSheetId="18" hidden="1">'[38]10.08.2 - 2008 Expense'!#REF!</definedName>
    <definedName name="BExF3NO0RE1VBB19GCRR03V0B690" hidden="1">'[38]10.08.2 - 2008 Expense'!#REF!</definedName>
    <definedName name="BExF3NTC4BGZEM6B87TCFX277QCS" localSheetId="18" hidden="1">#REF!</definedName>
    <definedName name="BExF3NTC4BGZEM6B87TCFX277QCS" hidden="1">#REF!</definedName>
    <definedName name="BExF3Q7NI90WT31QHYSJDIG0LLLJ" localSheetId="18" hidden="1">#REF!</definedName>
    <definedName name="BExF3Q7NI90WT31QHYSJDIG0LLLJ" hidden="1">#REF!</definedName>
    <definedName name="BExF3QD55TIY1MSBSRK9TUJKBEWO" localSheetId="18" hidden="1">#REF!</definedName>
    <definedName name="BExF3QD55TIY1MSBSRK9TUJKBEWO" hidden="1">#REF!</definedName>
    <definedName name="BExF3QT8J6RIF1L3R700MBSKIOKW" localSheetId="18" hidden="1">#REF!</definedName>
    <definedName name="BExF3QT8J6RIF1L3R700MBSKIOKW" hidden="1">#REF!</definedName>
    <definedName name="BExF3WT0ZHF3EL0ASMG2VZWM9G8I" localSheetId="18" hidden="1">#REF!</definedName>
    <definedName name="BExF3WT0ZHF3EL0ASMG2VZWM9G8I" hidden="1">#REF!</definedName>
    <definedName name="BExF42SSBVPMLK2UB3B7FPEIY9TU" localSheetId="18" hidden="1">#REF!</definedName>
    <definedName name="BExF42SSBVPMLK2UB3B7FPEIY9TU" hidden="1">#REF!</definedName>
    <definedName name="BExF4HXSWB50BKYPWA0HTT8W56H6" localSheetId="18" hidden="1">#REF!</definedName>
    <definedName name="BExF4HXSWB50BKYPWA0HTT8W56H6" hidden="1">#REF!</definedName>
    <definedName name="BExF4KHF04IWW4LQ95FHQPFE4Y9K" localSheetId="18" hidden="1">#REF!</definedName>
    <definedName name="BExF4KHF04IWW4LQ95FHQPFE4Y9K" hidden="1">#REF!</definedName>
    <definedName name="BExF4LU2NV3A47BCWPM3EZXUEH37" localSheetId="18" hidden="1">#REF!</definedName>
    <definedName name="BExF4LU2NV3A47BCWPM3EZXUEH37" hidden="1">#REF!</definedName>
    <definedName name="BExF4MVQM5Y0QRDLDFSKWWTF709C" localSheetId="18" hidden="1">#REF!</definedName>
    <definedName name="BExF4MVQM5Y0QRDLDFSKWWTF709C" hidden="1">#REF!</definedName>
    <definedName name="BExF4PVMZYV36E8HOYY06J81AMBI" localSheetId="18" hidden="1">#REF!</definedName>
    <definedName name="BExF4PVMZYV36E8HOYY06J81AMBI" hidden="1">#REF!</definedName>
    <definedName name="BExF4RZ6DOAJ22UKB3277ZIOU46S" localSheetId="18" hidden="1">#REF!</definedName>
    <definedName name="BExF4RZ6DOAJ22UKB3277ZIOU46S" hidden="1">#REF!</definedName>
    <definedName name="BExF4SF9NEX1FZE9N8EXT89PM54D" localSheetId="18" hidden="1">#REF!</definedName>
    <definedName name="BExF4SF9NEX1FZE9N8EXT89PM54D" hidden="1">#REF!</definedName>
    <definedName name="BExF52GTGP8MHGII4KJ8TJGR8W8U" localSheetId="18" hidden="1">#REF!</definedName>
    <definedName name="BExF52GTGP8MHGII4KJ8TJGR8W8U" hidden="1">#REF!</definedName>
    <definedName name="BExF57K7L3UC1I2FSAWURR4SN0UN" localSheetId="18" hidden="1">#REF!</definedName>
    <definedName name="BExF57K7L3UC1I2FSAWURR4SN0UN" hidden="1">#REF!</definedName>
    <definedName name="BExF5D96JEPDW6LV89G2REZJ1ES7" localSheetId="18" hidden="1">#REF!</definedName>
    <definedName name="BExF5D96JEPDW6LV89G2REZJ1ES7" hidden="1">#REF!</definedName>
    <definedName name="BExF5HR2GFV7O8LKG9SJ4BY78LYA" localSheetId="18" hidden="1">#REF!</definedName>
    <definedName name="BExF5HR2GFV7O8LKG9SJ4BY78LYA" hidden="1">#REF!</definedName>
    <definedName name="BExF5ZFO2A29GHWR5ES64Z9OS16J" localSheetId="18" hidden="1">#REF!</definedName>
    <definedName name="BExF5ZFO2A29GHWR5ES64Z9OS16J" hidden="1">#REF!</definedName>
    <definedName name="BExF63S045JO7H2ZJCBTBVH3SUIF" localSheetId="18" hidden="1">#REF!</definedName>
    <definedName name="BExF63S045JO7H2ZJCBTBVH3SUIF" hidden="1">#REF!</definedName>
    <definedName name="BExF642TEGTXCI9A61ZOONJCB0U1" localSheetId="18" hidden="1">#REF!</definedName>
    <definedName name="BExF642TEGTXCI9A61ZOONJCB0U1" hidden="1">#REF!</definedName>
    <definedName name="BExF66H4GVM169LVJ9EMCTORM8Q7" localSheetId="18" hidden="1">#REF!</definedName>
    <definedName name="BExF66H4GVM169LVJ9EMCTORM8Q7" hidden="1">#REF!</definedName>
    <definedName name="BExF6786I4LDI5XCLJEAUR1360PJ" localSheetId="18" hidden="1">#REF!</definedName>
    <definedName name="BExF6786I4LDI5XCLJEAUR1360PJ" hidden="1">#REF!</definedName>
    <definedName name="BExF67O951CF8UJF3KBDNR0E83C1" localSheetId="18" hidden="1">#REF!</definedName>
    <definedName name="BExF67O951CF8UJF3KBDNR0E83C1" hidden="1">#REF!</definedName>
    <definedName name="BExF6EV7I35NVMIJGYTB6E24YVPA" localSheetId="18" hidden="1">#REF!</definedName>
    <definedName name="BExF6EV7I35NVMIJGYTB6E24YVPA" hidden="1">#REF!</definedName>
    <definedName name="BExF6FGUF393KTMBT40S5BYAFG00" localSheetId="18" hidden="1">#REF!</definedName>
    <definedName name="BExF6FGUF393KTMBT40S5BYAFG00" hidden="1">#REF!</definedName>
    <definedName name="BExF6GNYXWY8A0SY4PW1B6KJMMTM" localSheetId="18" hidden="1">#REF!</definedName>
    <definedName name="BExF6GNYXWY8A0SY4PW1B6KJMMTM" hidden="1">#REF!</definedName>
    <definedName name="BExF6IB8K74Z0AFT05GPOKKZW7C9" localSheetId="18" hidden="1">#REF!</definedName>
    <definedName name="BExF6IB8K74Z0AFT05GPOKKZW7C9" hidden="1">#REF!</definedName>
    <definedName name="BExF6NUXJI11W2IAZNAM1QWC0459" localSheetId="18" hidden="1">#REF!</definedName>
    <definedName name="BExF6NUXJI11W2IAZNAM1QWC0459" hidden="1">#REF!</definedName>
    <definedName name="BExF6QUSYQJK98BYSLTE5MXT70P5" localSheetId="18" hidden="1">#REF!</definedName>
    <definedName name="BExF6QUSYQJK98BYSLTE5MXT70P5" hidden="1">#REF!</definedName>
    <definedName name="BExF6RR76KNVIXGJOVFO8GDILKGZ" localSheetId="18" hidden="1">#REF!</definedName>
    <definedName name="BExF6RR76KNVIXGJOVFO8GDILKGZ" hidden="1">#REF!</definedName>
    <definedName name="BExF6ZE8D5CMPJPRWT6S4HM56LPF" localSheetId="18" hidden="1">#REF!</definedName>
    <definedName name="BExF6ZE8D5CMPJPRWT6S4HM56LPF" hidden="1">#REF!</definedName>
    <definedName name="BExF76FV8SF7AJK7B35AL7VTZF6D" localSheetId="18" hidden="1">#REF!</definedName>
    <definedName name="BExF76FV8SF7AJK7B35AL7VTZF6D" hidden="1">#REF!</definedName>
    <definedName name="BExF7EOIMC1OYL1N7835KGOI0FIZ" localSheetId="18" hidden="1">#REF!</definedName>
    <definedName name="BExF7EOIMC1OYL1N7835KGOI0FIZ" hidden="1">#REF!</definedName>
    <definedName name="BExF7K88K7ASGV6RAOAGH52G04VR" localSheetId="18" hidden="1">#REF!</definedName>
    <definedName name="BExF7K88K7ASGV6RAOAGH52G04VR" hidden="1">#REF!</definedName>
    <definedName name="BExF7OVDRP3LHNAF2CX4V84CKKIR" localSheetId="18" hidden="1">#REF!</definedName>
    <definedName name="BExF7OVDRP3LHNAF2CX4V84CKKIR" hidden="1">#REF!</definedName>
    <definedName name="BExF7QO41X2A2SL8UXDNP99GY7U9" localSheetId="18" hidden="1">#REF!</definedName>
    <definedName name="BExF7QO41X2A2SL8UXDNP99GY7U9" hidden="1">#REF!</definedName>
    <definedName name="BExF7R9OJ83YUOQJTFS47QJFPBA6" localSheetId="18" hidden="1">#REF!</definedName>
    <definedName name="BExF7R9OJ83YUOQJTFS47QJFPBA6" hidden="1">#REF!</definedName>
    <definedName name="BExF7WD56YB3STK93BIQP3486ZEI" localSheetId="18" hidden="1">#REF!</definedName>
    <definedName name="BExF7WD56YB3STK93BIQP3486ZEI" hidden="1">#REF!</definedName>
    <definedName name="BExF80K6MCUWS9W99VRNYEN44QQZ" localSheetId="18" hidden="1">#REF!</definedName>
    <definedName name="BExF80K6MCUWS9W99VRNYEN44QQZ" hidden="1">#REF!</definedName>
    <definedName name="BExF81GI8B8WBHXFTET68A9358BR" localSheetId="18" hidden="1">#REF!</definedName>
    <definedName name="BExF81GI8B8WBHXFTET68A9358BR" hidden="1">#REF!</definedName>
    <definedName name="BExF87GAYMXKMUTK8SVUQ03Q8QZR" localSheetId="18" hidden="1">#REF!</definedName>
    <definedName name="BExF87GAYMXKMUTK8SVUQ03Q8QZR" hidden="1">#REF!</definedName>
    <definedName name="BExGKVQARCQ9KIFMMXBXEKHDTREN" localSheetId="18" hidden="1">'[38]10.08.5 - 2008 Capital - TDBU'!#REF!</definedName>
    <definedName name="BExGKVQARCQ9KIFMMXBXEKHDTREN" hidden="1">'[38]10.08.5 - 2008 Capital - TDBU'!#REF!</definedName>
    <definedName name="BExGL97US0Y3KXXASUTVR26XLT70" localSheetId="18" hidden="1">#REF!</definedName>
    <definedName name="BExGL97US0Y3KXXASUTVR26XLT70" hidden="1">#REF!</definedName>
    <definedName name="BExGLA47VYPH5Q19X9DS7CT55B4I" localSheetId="18" hidden="1">#REF!</definedName>
    <definedName name="BExGLA47VYPH5Q19X9DS7CT55B4I" hidden="1">#REF!</definedName>
    <definedName name="BExGLC7R4C33RO0PID97ZPPVCW4M" localSheetId="18" hidden="1">#REF!</definedName>
    <definedName name="BExGLC7R4C33RO0PID97ZPPVCW4M" hidden="1">#REF!</definedName>
    <definedName name="BExGLFIF7HCFSHNQHKEV6RY0WCO3" localSheetId="18" hidden="1">#REF!</definedName>
    <definedName name="BExGLFIF7HCFSHNQHKEV6RY0WCO3" hidden="1">#REF!</definedName>
    <definedName name="BExGLTARRL0J772UD2TXEYAVPY6E" localSheetId="18" hidden="1">#REF!</definedName>
    <definedName name="BExGLTARRL0J772UD2TXEYAVPY6E" hidden="1">#REF!</definedName>
    <definedName name="BExGLVP1IU8K5A8J1340XFMYPR88" localSheetId="18" hidden="1">#REF!</definedName>
    <definedName name="BExGLVP1IU8K5A8J1340XFMYPR88" hidden="1">#REF!</definedName>
    <definedName name="BExGLX716Z4UBZVUK6LS4LCBZ8EV" localSheetId="18" hidden="1">#REF!</definedName>
    <definedName name="BExGLX716Z4UBZVUK6LS4LCBZ8EV" hidden="1">#REF!</definedName>
    <definedName name="BExGLYE6RZTAAWHJBG2QFJPTDS2Q" localSheetId="18" hidden="1">#REF!</definedName>
    <definedName name="BExGLYE6RZTAAWHJBG2QFJPTDS2Q" hidden="1">#REF!</definedName>
    <definedName name="BExGM4DZ65OAQP7MA4LN6QMYZOFF" localSheetId="18" hidden="1">#REF!</definedName>
    <definedName name="BExGM4DZ65OAQP7MA4LN6QMYZOFF" hidden="1">#REF!</definedName>
    <definedName name="BExGMCXCWEC9XNUOEMZ61TMI6CUO" localSheetId="18" hidden="1">#REF!</definedName>
    <definedName name="BExGMCXCWEC9XNUOEMZ61TMI6CUO" hidden="1">#REF!</definedName>
    <definedName name="BExGMJDGIH0MEPC2TUSFUCY2ROTB" localSheetId="18" hidden="1">#REF!</definedName>
    <definedName name="BExGMJDGIH0MEPC2TUSFUCY2ROTB" hidden="1">#REF!</definedName>
    <definedName name="BExGMKPW2HPKN0M0XKF3AZ8YP0D6" localSheetId="18" hidden="1">#REF!</definedName>
    <definedName name="BExGMKPW2HPKN0M0XKF3AZ8YP0D6" hidden="1">#REF!</definedName>
    <definedName name="BExGMP2F175LGL6QVSJGP6GKYHHA" localSheetId="18" hidden="1">#REF!</definedName>
    <definedName name="BExGMP2F175LGL6QVSJGP6GKYHHA" hidden="1">#REF!</definedName>
    <definedName name="BExGMPIIP8GKML2VVA8OEFL43NCS" localSheetId="18" hidden="1">#REF!</definedName>
    <definedName name="BExGMPIIP8GKML2VVA8OEFL43NCS" hidden="1">#REF!</definedName>
    <definedName name="BExGMZ3SRIXLXMWBVOXXV3M4U4YL" localSheetId="18" hidden="1">#REF!</definedName>
    <definedName name="BExGMZ3SRIXLXMWBVOXXV3M4U4YL" hidden="1">#REF!</definedName>
    <definedName name="BExGMZ3UBN48IXU1ZEFYECEMZ1IM" localSheetId="18" hidden="1">#REF!</definedName>
    <definedName name="BExGMZ3UBN48IXU1ZEFYECEMZ1IM" hidden="1">#REF!</definedName>
    <definedName name="BExGN4I0QATXNZCLZJM1KH1OIJQH" localSheetId="18" hidden="1">#REF!</definedName>
    <definedName name="BExGN4I0QATXNZCLZJM1KH1OIJQH" hidden="1">#REF!</definedName>
    <definedName name="BExGN7SOVSLKC6I1KE8PWWP0JN74" localSheetId="18" hidden="1">#REF!</definedName>
    <definedName name="BExGN7SOVSLKC6I1KE8PWWP0JN74" hidden="1">#REF!</definedName>
    <definedName name="BExGN9FZ2RWCMSY1YOBJKZMNIM9R" localSheetId="18" hidden="1">#REF!</definedName>
    <definedName name="BExGN9FZ2RWCMSY1YOBJKZMNIM9R" hidden="1">#REF!</definedName>
    <definedName name="BExGNDSIMTHOCXXG6QOGR6DA8SGG" localSheetId="18" hidden="1">#REF!</definedName>
    <definedName name="BExGNDSIMTHOCXXG6QOGR6DA8SGG" hidden="1">#REF!</definedName>
    <definedName name="BExGNG6TCN1ZSYO3FQ0I1CHBMQSK" localSheetId="18" hidden="1">#REF!</definedName>
    <definedName name="BExGNG6TCN1ZSYO3FQ0I1CHBMQSK" hidden="1">#REF!</definedName>
    <definedName name="BExGNN2YQ9BDAZXT2GLCSAPXKIM7" localSheetId="18" hidden="1">#REF!</definedName>
    <definedName name="BExGNN2YQ9BDAZXT2GLCSAPXKIM7" hidden="1">#REF!</definedName>
    <definedName name="BExGNSS0CKRPKHO25R3TDBEL2NHX" localSheetId="18" hidden="1">#REF!</definedName>
    <definedName name="BExGNSS0CKRPKHO25R3TDBEL2NHX" hidden="1">#REF!</definedName>
    <definedName name="BExGNYH0MO8NOVS85L15G0RWX4GW" localSheetId="18" hidden="1">#REF!</definedName>
    <definedName name="BExGNYH0MO8NOVS85L15G0RWX4GW" hidden="1">#REF!</definedName>
    <definedName name="BExGNZO44DEG8CGIDYSEGDUQ531R" localSheetId="18" hidden="1">#REF!</definedName>
    <definedName name="BExGNZO44DEG8CGIDYSEGDUQ531R" hidden="1">#REF!</definedName>
    <definedName name="BExGO2O0V6UYDY26AX8OSN72F77N" localSheetId="18" hidden="1">#REF!</definedName>
    <definedName name="BExGO2O0V6UYDY26AX8OSN72F77N" hidden="1">#REF!</definedName>
    <definedName name="BExGO2YUBOVLYHY1QSIHRE1KLAFV" localSheetId="18" hidden="1">#REF!</definedName>
    <definedName name="BExGO2YUBOVLYHY1QSIHRE1KLAFV" hidden="1">#REF!</definedName>
    <definedName name="BExGO70E2O70LF46V8T26YFPL4V8" localSheetId="18" hidden="1">#REF!</definedName>
    <definedName name="BExGO70E2O70LF46V8T26YFPL4V8" hidden="1">#REF!</definedName>
    <definedName name="BExGO93Y9EAR1NQIAT7U7P8UVVPK" localSheetId="18" hidden="1">'[38]10.08.4 -2008 Capital'!#REF!</definedName>
    <definedName name="BExGO93Y9EAR1NQIAT7U7P8UVVPK" hidden="1">'[38]10.08.4 -2008 Capital'!#REF!</definedName>
    <definedName name="BExGOB25QJMQCQE76MRW9X58OIOO" localSheetId="18" hidden="1">#REF!</definedName>
    <definedName name="BExGOB25QJMQCQE76MRW9X58OIOO" hidden="1">#REF!</definedName>
    <definedName name="BExGOD5OOOBUBIMGTY10CMMLMXNN" localSheetId="18" hidden="1">#REF!</definedName>
    <definedName name="BExGOD5OOOBUBIMGTY10CMMLMXNN" hidden="1">#REF!</definedName>
    <definedName name="BExGODAZKJ9EXMQZNQR5YDBSS525" localSheetId="18" hidden="1">#REF!</definedName>
    <definedName name="BExGODAZKJ9EXMQZNQR5YDBSS525" hidden="1">#REF!</definedName>
    <definedName name="BExGODR8ZSMUC11I56QHSZ686XV5" localSheetId="18" hidden="1">#REF!</definedName>
    <definedName name="BExGODR8ZSMUC11I56QHSZ686XV5" hidden="1">#REF!</definedName>
    <definedName name="BExGOT6UXUX5FVTAYL9SOBZ1D0II" localSheetId="18" hidden="1">#REF!</definedName>
    <definedName name="BExGOT6UXUX5FVTAYL9SOBZ1D0II" hidden="1">#REF!</definedName>
    <definedName name="BExGOXJDHUDPDT8I8IVGVW9J0R5Q" localSheetId="18" hidden="1">#REF!</definedName>
    <definedName name="BExGOXJDHUDPDT8I8IVGVW9J0R5Q" hidden="1">#REF!</definedName>
    <definedName name="BExGP3TT3CY5VYQJQ82YO0NMENH1" localSheetId="18" hidden="1">#REF!</definedName>
    <definedName name="BExGP3TT3CY5VYQJQ82YO0NMENH1" hidden="1">#REF!</definedName>
    <definedName name="BExGPHGT5KDOCMV2EFS4OVKTWBRD" localSheetId="18" hidden="1">#REF!</definedName>
    <definedName name="BExGPHGT5KDOCMV2EFS4OVKTWBRD" hidden="1">#REF!</definedName>
    <definedName name="BExGPID72Y4Y619LWASUQZKZHJNC" localSheetId="18" hidden="1">#REF!</definedName>
    <definedName name="BExGPID72Y4Y619LWASUQZKZHJNC" hidden="1">#REF!</definedName>
    <definedName name="BExGPPENQIANVGLVQJ77DK5JPRTB" localSheetId="18" hidden="1">#REF!</definedName>
    <definedName name="BExGPPENQIANVGLVQJ77DK5JPRTB" hidden="1">#REF!</definedName>
    <definedName name="BExGQ1ZU4967P72AHF4V1D0FOL5C" localSheetId="18" hidden="1">#REF!</definedName>
    <definedName name="BExGQ1ZU4967P72AHF4V1D0FOL5C" hidden="1">#REF!</definedName>
    <definedName name="BExGQ36ZOMR9GV8T05M605MMOY3Y" localSheetId="18" hidden="1">#REF!</definedName>
    <definedName name="BExGQ36ZOMR9GV8T05M605MMOY3Y" hidden="1">#REF!</definedName>
    <definedName name="BExGQ4E4XWZBZNG82O3F6S3IX0UD" localSheetId="18" hidden="1">#REF!</definedName>
    <definedName name="BExGQ4E4XWZBZNG82O3F6S3IX0UD" hidden="1">#REF!</definedName>
    <definedName name="BExGQ61DTJ0SBFMDFBAK3XZ9O0ZO" localSheetId="18" hidden="1">#REF!</definedName>
    <definedName name="BExGQ61DTJ0SBFMDFBAK3XZ9O0ZO" hidden="1">#REF!</definedName>
    <definedName name="BExGQ6SG9XEOD0VMBAR22YPZWSTA" localSheetId="18" hidden="1">#REF!</definedName>
    <definedName name="BExGQ6SG9XEOD0VMBAR22YPZWSTA" hidden="1">#REF!</definedName>
    <definedName name="BExGQGJ1A7LNZUS8QSMOG8UNGLMK" localSheetId="18" hidden="1">#REF!</definedName>
    <definedName name="BExGQGJ1A7LNZUS8QSMOG8UNGLMK" hidden="1">#REF!</definedName>
    <definedName name="BExGQNPYSR0588CMPYC6F4KV9EDE" localSheetId="18" hidden="1">'[38]10.08.5 - 2008 Capital - TDBU'!#REF!</definedName>
    <definedName name="BExGQNPYSR0588CMPYC6F4KV9EDE" hidden="1">'[38]10.08.5 - 2008 Capital - TDBU'!#REF!</definedName>
    <definedName name="BExGQPO7ENFEQC0NC6MC9OZR2LHY" localSheetId="18" hidden="1">#REF!</definedName>
    <definedName name="BExGQPO7ENFEQC0NC6MC9OZR2LHY" hidden="1">#REF!</definedName>
    <definedName name="BExGQX0H4EZMXBJTKJJE4ICJWN5O" localSheetId="18" hidden="1">#REF!</definedName>
    <definedName name="BExGQX0H4EZMXBJTKJJE4ICJWN5O" hidden="1">#REF!</definedName>
    <definedName name="BExGR4CW3WRIID17GGX4MI9ZDHFE" localSheetId="18" hidden="1">#REF!</definedName>
    <definedName name="BExGR4CW3WRIID17GGX4MI9ZDHFE" hidden="1">#REF!</definedName>
    <definedName name="BExGR65GJX27MU2OL6NI5PB8XVB4" localSheetId="18" hidden="1">#REF!</definedName>
    <definedName name="BExGR65GJX27MU2OL6NI5PB8XVB4" hidden="1">#REF!</definedName>
    <definedName name="BExGR6LQ97HETGS3CT96L4IK0JSH" localSheetId="18" hidden="1">#REF!</definedName>
    <definedName name="BExGR6LQ97HETGS3CT96L4IK0JSH" hidden="1">#REF!</definedName>
    <definedName name="BExGR9ATP2LVT7B9OCPSLJ11H9SX" localSheetId="18" hidden="1">#REF!</definedName>
    <definedName name="BExGR9ATP2LVT7B9OCPSLJ11H9SX" hidden="1">#REF!</definedName>
    <definedName name="BExGRAY9F658TSUK4B5X7SAIOYT9" localSheetId="18" hidden="1">#REF!</definedName>
    <definedName name="BExGRAY9F658TSUK4B5X7SAIOYT9" hidden="1">#REF!</definedName>
    <definedName name="BExGRD74EJWS14SU2OOJCGK9X1W7" localSheetId="18" hidden="1">#REF!</definedName>
    <definedName name="BExGRD74EJWS14SU2OOJCGK9X1W7" hidden="1">#REF!</definedName>
    <definedName name="BExGrid1">#REF!</definedName>
    <definedName name="BExGROQL61G1JF22224SED98B361" localSheetId="18" hidden="1">#REF!</definedName>
    <definedName name="BExGROQL61G1JF22224SED98B361" hidden="1">#REF!</definedName>
    <definedName name="BExGRUKVVKDL8483WI70VN2QZDGD" localSheetId="18" hidden="1">#REF!</definedName>
    <definedName name="BExGRUKVVKDL8483WI70VN2QZDGD" hidden="1">#REF!</definedName>
    <definedName name="BExGRW2VUL2RYAVBES5DLY6VH9EK" localSheetId="18" hidden="1">#REF!</definedName>
    <definedName name="BExGRW2VUL2RYAVBES5DLY6VH9EK" hidden="1">#REF!</definedName>
    <definedName name="BExGS2IWR5DUNJ1U9PAKIV8CMBNI" localSheetId="18" hidden="1">#REF!</definedName>
    <definedName name="BExGS2IWR5DUNJ1U9PAKIV8CMBNI" hidden="1">#REF!</definedName>
    <definedName name="BExGS39S7AWXR3SMHER030GA9FHE" localSheetId="18" hidden="1">#REF!</definedName>
    <definedName name="BExGS39S7AWXR3SMHER030GA9FHE" hidden="1">#REF!</definedName>
    <definedName name="BExGS69P9FFTEOPDS0MWFKF45G47" localSheetId="18" hidden="1">#REF!</definedName>
    <definedName name="BExGS69P9FFTEOPDS0MWFKF45G47" hidden="1">#REF!</definedName>
    <definedName name="BExGS6F1JFHM5MUJ1RFO50WP6D05" localSheetId="18" hidden="1">#REF!</definedName>
    <definedName name="BExGS6F1JFHM5MUJ1RFO50WP6D05" hidden="1">#REF!</definedName>
    <definedName name="BExGSA5YB5ZGE4NHDVCZ55TQAJTL" localSheetId="18" hidden="1">#REF!</definedName>
    <definedName name="BExGSA5YB5ZGE4NHDVCZ55TQAJTL" hidden="1">#REF!</definedName>
    <definedName name="BExGSCEUCQQVDEEKWJ677QTGUVTE" localSheetId="18" hidden="1">#REF!</definedName>
    <definedName name="BExGSCEUCQQVDEEKWJ677QTGUVTE" hidden="1">#REF!</definedName>
    <definedName name="BExGSCKA06Y0QKMK697YEVLEA9FY" localSheetId="18" hidden="1">#REF!</definedName>
    <definedName name="BExGSCKA06Y0QKMK697YEVLEA9FY" hidden="1">#REF!</definedName>
    <definedName name="BExGSJWJN6NORKNRWIN4W0MANCAV" localSheetId="18" hidden="1">#REF!</definedName>
    <definedName name="BExGSJWJN6NORKNRWIN4W0MANCAV" hidden="1">#REF!</definedName>
    <definedName name="BExGSQY65LH1PCKKM5WHDW83F35O" localSheetId="18" hidden="1">#REF!</definedName>
    <definedName name="BExGSQY65LH1PCKKM5WHDW83F35O" hidden="1">#REF!</definedName>
    <definedName name="BExGSSW8N9A0O48I1Z0M4ZIIXNTV" localSheetId="18" hidden="1">#REF!</definedName>
    <definedName name="BExGSSW8N9A0O48I1Z0M4ZIIXNTV" hidden="1">#REF!</definedName>
    <definedName name="BExGSYW1GKISF0PMUAK3XJK9PEW9" localSheetId="18" hidden="1">#REF!</definedName>
    <definedName name="BExGSYW1GKISF0PMUAK3XJK9PEW9" hidden="1">#REF!</definedName>
    <definedName name="BExGSZCAQHVWXD4N87N0EW2W1JGB" localSheetId="18" hidden="1">#REF!</definedName>
    <definedName name="BExGSZCAQHVWXD4N87N0EW2W1JGB" hidden="1">#REF!</definedName>
    <definedName name="BExGT0DZJB6LSF6L693UUB9EY1VQ" localSheetId="18" hidden="1">#REF!</definedName>
    <definedName name="BExGT0DZJB6LSF6L693UUB9EY1VQ" hidden="1">#REF!</definedName>
    <definedName name="BExGTGVFIF8HOQXR54SK065A8M4K" localSheetId="18" hidden="1">#REF!</definedName>
    <definedName name="BExGTGVFIF8HOQXR54SK065A8M4K" hidden="1">#REF!</definedName>
    <definedName name="BExGTHRSN7OEWMFAXSHGKS2ECVLO" localSheetId="18" hidden="1">#REF!</definedName>
    <definedName name="BExGTHRSN7OEWMFAXSHGKS2ECVLO" hidden="1">#REF!</definedName>
    <definedName name="BExGTIYX3OWPIINOGY1E4QQYSKHP" localSheetId="18" hidden="1">#REF!</definedName>
    <definedName name="BExGTIYX3OWPIINOGY1E4QQYSKHP" hidden="1">#REF!</definedName>
    <definedName name="BExGTKGUN0KUU3C0RL2LK98D8MEK" localSheetId="18" hidden="1">#REF!</definedName>
    <definedName name="BExGTKGUN0KUU3C0RL2LK98D8MEK" hidden="1">#REF!</definedName>
    <definedName name="BExGTTWOFVNMXRUNAMNODBN7I5RE" localSheetId="18" hidden="1">#REF!</definedName>
    <definedName name="BExGTTWOFVNMXRUNAMNODBN7I5RE" hidden="1">#REF!</definedName>
    <definedName name="BExGTZ046J7VMUG4YPKFN2K8TWB7" localSheetId="18" hidden="1">#REF!</definedName>
    <definedName name="BExGTZ046J7VMUG4YPKFN2K8TWB7" hidden="1">#REF!</definedName>
    <definedName name="BExGU1JWSVXPWIF3A5PN098ST2ZB" localSheetId="18" hidden="1">#REF!</definedName>
    <definedName name="BExGU1JWSVXPWIF3A5PN098ST2ZB" hidden="1">#REF!</definedName>
    <definedName name="BExGU2G9OPRZRIU9YGF6NX9FUW0J" localSheetId="18" hidden="1">#REF!</definedName>
    <definedName name="BExGU2G9OPRZRIU9YGF6NX9FUW0J" hidden="1">#REF!</definedName>
    <definedName name="BExGU6HTKLRZO8UOI3DTAM5RFDBA" localSheetId="18" hidden="1">#REF!</definedName>
    <definedName name="BExGU6HTKLRZO8UOI3DTAM5RFDBA" hidden="1">#REF!</definedName>
    <definedName name="BExGUDDZXFFQHAF4UZF8ZB1HO7H6" localSheetId="18" hidden="1">#REF!</definedName>
    <definedName name="BExGUDDZXFFQHAF4UZF8ZB1HO7H6" hidden="1">#REF!</definedName>
    <definedName name="BExGUIBXBRHGM97ZX6GBA4ZDQ79C" localSheetId="18" hidden="1">#REF!</definedName>
    <definedName name="BExGUIBXBRHGM97ZX6GBA4ZDQ79C" hidden="1">#REF!</definedName>
    <definedName name="BExGUM8D91UNPCOO4TKP9FGX85TF" localSheetId="18" hidden="1">#REF!</definedName>
    <definedName name="BExGUM8D91UNPCOO4TKP9FGX85TF" hidden="1">#REF!</definedName>
    <definedName name="BExGUPZ6NZ68L2EDDWJAMBIUVHKZ" localSheetId="18" hidden="1">#REF!</definedName>
    <definedName name="BExGUPZ6NZ68L2EDDWJAMBIUVHKZ" hidden="1">#REF!</definedName>
    <definedName name="BExGUQF9N9FKI7S0H30WUAEB5LPD" localSheetId="18" hidden="1">#REF!</definedName>
    <definedName name="BExGUQF9N9FKI7S0H30WUAEB5LPD" hidden="1">#REF!</definedName>
    <definedName name="BExGUR6BA03XPBK60SQUW197GJ5X" localSheetId="18" hidden="1">#REF!</definedName>
    <definedName name="BExGUR6BA03XPBK60SQUW197GJ5X" hidden="1">#REF!</definedName>
    <definedName name="BExGUVIP60TA4B7X2PFGMBFUSKGX" localSheetId="18" hidden="1">#REF!</definedName>
    <definedName name="BExGUVIP60TA4B7X2PFGMBFUSKGX" hidden="1">#REF!</definedName>
    <definedName name="BExGUZKF06F209XL1IZWVJEQ82EE" localSheetId="18" hidden="1">#REF!</definedName>
    <definedName name="BExGUZKF06F209XL1IZWVJEQ82EE" hidden="1">#REF!</definedName>
    <definedName name="BExGV2EVT380QHD4AP2RL9MR8L5L" localSheetId="18" hidden="1">#REF!</definedName>
    <definedName name="BExGV2EVT380QHD4AP2RL9MR8L5L" hidden="1">#REF!</definedName>
    <definedName name="BExGVLQV4WLYED6UCM4VDJMDIODS" localSheetId="18" hidden="1">#REF!</definedName>
    <definedName name="BExGVLQV4WLYED6UCM4VDJMDIODS" hidden="1">#REF!</definedName>
    <definedName name="BExGVQE1PH4Q46QUDV9GXTDJHSBP" localSheetId="18" hidden="1">#REF!</definedName>
    <definedName name="BExGVQE1PH4Q46QUDV9GXTDJHSBP" hidden="1">#REF!</definedName>
    <definedName name="BExGVQUBBCND7N6N8UAFSJ3XMO2K" localSheetId="18" hidden="1">#REF!</definedName>
    <definedName name="BExGVQUBBCND7N6N8UAFSJ3XMO2K" hidden="1">#REF!</definedName>
    <definedName name="BExGVV6OOLDQ3TXZK51TTF3YX0WN" localSheetId="18" hidden="1">#REF!</definedName>
    <definedName name="BExGVV6OOLDQ3TXZK51TTF3YX0WN" hidden="1">#REF!</definedName>
    <definedName name="BExGW0KVS7U0C87XFZ78QW991IEV" localSheetId="18" hidden="1">#REF!</definedName>
    <definedName name="BExGW0KVS7U0C87XFZ78QW991IEV" hidden="1">#REF!</definedName>
    <definedName name="BExGW2Z7AMPG6H9EXA9ML6EZVGGA" localSheetId="18" hidden="1">#REF!</definedName>
    <definedName name="BExGW2Z7AMPG6H9EXA9ML6EZVGGA" hidden="1">#REF!</definedName>
    <definedName name="BExGW4XE5DHK7GOPYX8TT51CSG15" localSheetId="18" hidden="1">#REF!</definedName>
    <definedName name="BExGW4XE5DHK7GOPYX8TT51CSG15" hidden="1">#REF!</definedName>
    <definedName name="BExGW5Z3L0OX08J99L459WM06JKA" localSheetId="18" hidden="1">#REF!</definedName>
    <definedName name="BExGW5Z3L0OX08J99L459WM06JKA" hidden="1">#REF!</definedName>
    <definedName name="BExGWABG5VT5XO1A196RK61AXA8C" localSheetId="18" hidden="1">#REF!</definedName>
    <definedName name="BExGWABG5VT5XO1A196RK61AXA8C" hidden="1">#REF!</definedName>
    <definedName name="BExGWE2ENPKKCYNRTQY1QKPWFLXM" localSheetId="18" hidden="1">#REF!</definedName>
    <definedName name="BExGWE2ENPKKCYNRTQY1QKPWFLXM" hidden="1">#REF!</definedName>
    <definedName name="BExGWEO0JDG84NYLEAV5NSOAGMJZ" localSheetId="18" hidden="1">#REF!</definedName>
    <definedName name="BExGWEO0JDG84NYLEAV5NSOAGMJZ" hidden="1">#REF!</definedName>
    <definedName name="BExGWK7JDSL1M5WZ40HT9QXFJ1EM" localSheetId="18" hidden="1">#REF!</definedName>
    <definedName name="BExGWK7JDSL1M5WZ40HT9QXFJ1EM" hidden="1">#REF!</definedName>
    <definedName name="BExGWLEOC70Z8QAJTPT2PDHTNM4L" localSheetId="18" hidden="1">#REF!</definedName>
    <definedName name="BExGWLEOC70Z8QAJTPT2PDHTNM4L" hidden="1">#REF!</definedName>
    <definedName name="BExGWNCXLCRTLBVMTXYJ5PHQI6SS" localSheetId="18" hidden="1">#REF!</definedName>
    <definedName name="BExGWNCXLCRTLBVMTXYJ5PHQI6SS" hidden="1">#REF!</definedName>
    <definedName name="BExGWTI0YD2LF2C6MIF0OB6ZIWO7" localSheetId="18" hidden="1">#REF!</definedName>
    <definedName name="BExGWTI0YD2LF2C6MIF0OB6ZIWO7" hidden="1">#REF!</definedName>
    <definedName name="BExGX6U988MCFIGDA1282F92U9AA" localSheetId="18" hidden="1">#REF!</definedName>
    <definedName name="BExGX6U988MCFIGDA1282F92U9AA" hidden="1">#REF!</definedName>
    <definedName name="BExGX7FTB1CKAT5HUW6H531FIY6I" localSheetId="18" hidden="1">#REF!</definedName>
    <definedName name="BExGX7FTB1CKAT5HUW6H531FIY6I" hidden="1">#REF!</definedName>
    <definedName name="BExGX9DVACJQIZ4GH6YAD2A7F70O" localSheetId="18" hidden="1">#REF!</definedName>
    <definedName name="BExGX9DVACJQIZ4GH6YAD2A7F70O" hidden="1">#REF!</definedName>
    <definedName name="BExGXDVP2S2Y8Z8Q43I78RCIK3DD" localSheetId="18" hidden="1">#REF!</definedName>
    <definedName name="BExGXDVP2S2Y8Z8Q43I78RCIK3DD" hidden="1">#REF!</definedName>
    <definedName name="BExGXJ9W5JU7TT9S0BKL5Y6VVB39" localSheetId="18" hidden="1">#REF!</definedName>
    <definedName name="BExGXJ9W5JU7TT9S0BKL5Y6VVB39" hidden="1">#REF!</definedName>
    <definedName name="BExGXR7QM0F3N9OYEG8V5BZ8X5WD" localSheetId="18" hidden="1">#REF!</definedName>
    <definedName name="BExGXR7QM0F3N9OYEG8V5BZ8X5WD" hidden="1">#REF!</definedName>
    <definedName name="BExGXWB73RJ4BASBQTQ8EY0EC1EB" localSheetId="18" hidden="1">#REF!</definedName>
    <definedName name="BExGXWB73RJ4BASBQTQ8EY0EC1EB" hidden="1">#REF!</definedName>
    <definedName name="BExGXZ0ABB43C7SMRKZHWOSU9EQX" localSheetId="18" hidden="1">#REF!</definedName>
    <definedName name="BExGXZ0ABB43C7SMRKZHWOSU9EQX" hidden="1">#REF!</definedName>
    <definedName name="BExGY6SU3SYVCJ3AG2ITY59SAZ5A" localSheetId="18" hidden="1">#REF!</definedName>
    <definedName name="BExGY6SU3SYVCJ3AG2ITY59SAZ5A" hidden="1">#REF!</definedName>
    <definedName name="BExGY6YA4P5KMY2VHT0DYK3YTFAX" localSheetId="18" hidden="1">#REF!</definedName>
    <definedName name="BExGY6YA4P5KMY2VHT0DYK3YTFAX" hidden="1">#REF!</definedName>
    <definedName name="BExGY8G88PVVRYHPHRPJZFSX6HSC" localSheetId="18" hidden="1">#REF!</definedName>
    <definedName name="BExGY8G88PVVRYHPHRPJZFSX6HSC" hidden="1">#REF!</definedName>
    <definedName name="BExGYC718HTZ80PNKYPVIYGRJVF6" localSheetId="18" hidden="1">#REF!</definedName>
    <definedName name="BExGYC718HTZ80PNKYPVIYGRJVF6" hidden="1">#REF!</definedName>
    <definedName name="BExGYCNATXZY2FID93B17YWIPPRD" localSheetId="18" hidden="1">#REF!</definedName>
    <definedName name="BExGYCNATXZY2FID93B17YWIPPRD" hidden="1">#REF!</definedName>
    <definedName name="BExGYGJJJ3BBCQAOA51WHP01HN73" localSheetId="18" hidden="1">#REF!</definedName>
    <definedName name="BExGYGJJJ3BBCQAOA51WHP01HN73" hidden="1">#REF!</definedName>
    <definedName name="BExGYM8ENAT3UBFMSYCXQG8WWNVD" localSheetId="18" hidden="1">#REF!</definedName>
    <definedName name="BExGYM8ENAT3UBFMSYCXQG8WWNVD" hidden="1">#REF!</definedName>
    <definedName name="BExGYMZGRR1O4VFUEQP4FPY9SFY6" localSheetId="18" hidden="1">#REF!</definedName>
    <definedName name="BExGYMZGRR1O4VFUEQP4FPY9SFY6" hidden="1">#REF!</definedName>
    <definedName name="BExGYOS6TV2C72PLRFU8RP1I58GY" localSheetId="18" hidden="1">#REF!</definedName>
    <definedName name="BExGYOS6TV2C72PLRFU8RP1I58GY" hidden="1">#REF!</definedName>
    <definedName name="BExGZ7NXZ0IBS44C2NZ9VMD6T6K2" localSheetId="18" hidden="1">#REF!</definedName>
    <definedName name="BExGZ7NXZ0IBS44C2NZ9VMD6T6K2" hidden="1">#REF!</definedName>
    <definedName name="BExGZJ78ZWZCVHZ3BKEKFJZ6MAEO" localSheetId="18" hidden="1">#REF!</definedName>
    <definedName name="BExGZJ78ZWZCVHZ3BKEKFJZ6MAEO" hidden="1">#REF!</definedName>
    <definedName name="BExGZOLH2QV73J3M9IWDDPA62TP4" localSheetId="18" hidden="1">#REF!</definedName>
    <definedName name="BExGZOLH2QV73J3M9IWDDPA62TP4" hidden="1">#REF!</definedName>
    <definedName name="BExGZP1PWGFKVVVN4YDIS22DZPCR" localSheetId="18" hidden="1">#REF!</definedName>
    <definedName name="BExGZP1PWGFKVVVN4YDIS22DZPCR" hidden="1">#REF!</definedName>
    <definedName name="BExGZTE5G7WSV7TYWM2Q9FW7YZUN" localSheetId="18" hidden="1">#REF!</definedName>
    <definedName name="BExGZTE5G7WSV7TYWM2Q9FW7YZUN" hidden="1">#REF!</definedName>
    <definedName name="BExH00L21GZX5YJJGVMOAWBERLP5" localSheetId="18" hidden="1">#REF!</definedName>
    <definedName name="BExH00L21GZX5YJJGVMOAWBERLP5" hidden="1">#REF!</definedName>
    <definedName name="BExH02ZD6VAY1KQLAQYBBI6WWIZB" localSheetId="18" hidden="1">#REF!</definedName>
    <definedName name="BExH02ZD6VAY1KQLAQYBBI6WWIZB" hidden="1">#REF!</definedName>
    <definedName name="BExH08Z6LQCGGSGSAILMHX4X7JMD" localSheetId="18" hidden="1">#REF!</definedName>
    <definedName name="BExH08Z6LQCGGSGSAILMHX4X7JMD" hidden="1">#REF!</definedName>
    <definedName name="BExH0BTMHS9M9C5JSOE1DK83LRCJ" localSheetId="18" hidden="1">#REF!</definedName>
    <definedName name="BExH0BTMHS9M9C5JSOE1DK83LRCJ" hidden="1">#REF!</definedName>
    <definedName name="BExH0KT9Z8HEVRRQRGQ8YHXRLIJA" localSheetId="18" hidden="1">#REF!</definedName>
    <definedName name="BExH0KT9Z8HEVRRQRGQ8YHXRLIJA" hidden="1">#REF!</definedName>
    <definedName name="BExH0M0FDN12YBOCKL3XL2Z7T7Y8" localSheetId="18" hidden="1">#REF!</definedName>
    <definedName name="BExH0M0FDN12YBOCKL3XL2Z7T7Y8" hidden="1">#REF!</definedName>
    <definedName name="BExH0O9G06YPZ5TN9RYT326I1CP2" localSheetId="18" hidden="1">#REF!</definedName>
    <definedName name="BExH0O9G06YPZ5TN9RYT326I1CP2" hidden="1">#REF!</definedName>
    <definedName name="BExH0WNJAKTJRCKMTX8O4KNMIIJM" localSheetId="18" hidden="1">#REF!</definedName>
    <definedName name="BExH0WNJAKTJRCKMTX8O4KNMIIJM" hidden="1">#REF!</definedName>
    <definedName name="BExH12Y4WX542WI3ZEM15AK4UM9J" localSheetId="18" hidden="1">#REF!</definedName>
    <definedName name="BExH12Y4WX542WI3ZEM15AK4UM9J" hidden="1">#REF!</definedName>
    <definedName name="BExH181KIGEHYN7U002O6RO1HZT7" localSheetId="18" hidden="1">#REF!</definedName>
    <definedName name="BExH181KIGEHYN7U002O6RO1HZT7" hidden="1">#REF!</definedName>
    <definedName name="BExH1COQB2N3U6HS9ITOY40KC6JA" localSheetId="18" hidden="1">#REF!</definedName>
    <definedName name="BExH1COQB2N3U6HS9ITOY40KC6JA" hidden="1">#REF!</definedName>
    <definedName name="BExH1FDTQXR9QQ31WDB7OPXU7MPT" localSheetId="18" hidden="1">#REF!</definedName>
    <definedName name="BExH1FDTQXR9QQ31WDB7OPXU7MPT" hidden="1">#REF!</definedName>
    <definedName name="BExH1FOMEUIJNIDJAUY0ZQFBJSY9" localSheetId="18" hidden="1">#REF!</definedName>
    <definedName name="BExH1FOMEUIJNIDJAUY0ZQFBJSY9" hidden="1">#REF!</definedName>
    <definedName name="BExH1G4VNA3BFMF4QK35PGSBQJMB" localSheetId="18" hidden="1">#REF!</definedName>
    <definedName name="BExH1G4VNA3BFMF4QK35PGSBQJMB" hidden="1">#REF!</definedName>
    <definedName name="BExH1JFFHEBFX9BWJMNIA3N66R3Z" localSheetId="18" hidden="1">#REF!</definedName>
    <definedName name="BExH1JFFHEBFX9BWJMNIA3N66R3Z" hidden="1">#REF!</definedName>
    <definedName name="BExH1UYUZFQ3NQ2E3UANIJDR9U8U" localSheetId="18" hidden="1">#REF!</definedName>
    <definedName name="BExH1UYUZFQ3NQ2E3UANIJDR9U8U" hidden="1">#REF!</definedName>
    <definedName name="BExH1Z0GIUSVTF2H1G1I3PDGBNK2" localSheetId="18" hidden="1">#REF!</definedName>
    <definedName name="BExH1Z0GIUSVTF2H1G1I3PDGBNK2" hidden="1">#REF!</definedName>
    <definedName name="BExH225UTM6S9FW4MUDZS7F1PQSH" localSheetId="18" hidden="1">#REF!</definedName>
    <definedName name="BExH225UTM6S9FW4MUDZS7F1PQSH" hidden="1">#REF!</definedName>
    <definedName name="BExH22M34C4EGB2M8ES9K2NBZFIX" localSheetId="18" hidden="1">#REF!</definedName>
    <definedName name="BExH22M34C4EGB2M8ES9K2NBZFIX" hidden="1">#REF!</definedName>
    <definedName name="BExH23271RF7AYZ542KHQTH68GQ7" localSheetId="18" hidden="1">#REF!</definedName>
    <definedName name="BExH23271RF7AYZ542KHQTH68GQ7" hidden="1">#REF!</definedName>
    <definedName name="BExH25LUU6AHETNY34SBU5S7UOWE" localSheetId="18" hidden="1">'[38]10.08.4 -2008 Capital'!#REF!</definedName>
    <definedName name="BExH25LUU6AHETNY34SBU5S7UOWE" hidden="1">'[38]10.08.4 -2008 Capital'!#REF!</definedName>
    <definedName name="BExH2EARUVJ0LN7IJXI0S3UWLQB2" localSheetId="18" hidden="1">#REF!</definedName>
    <definedName name="BExH2EARUVJ0LN7IJXI0S3UWLQB2" hidden="1">#REF!</definedName>
    <definedName name="BExH2GJQR4JALNB314RY0LDI49VH" localSheetId="18" hidden="1">#REF!</definedName>
    <definedName name="BExH2GJQR4JALNB314RY0LDI49VH" hidden="1">#REF!</definedName>
    <definedName name="BExH2JZR49T7644JFVE7B3N7RZM9" localSheetId="18" hidden="1">#REF!</definedName>
    <definedName name="BExH2JZR49T7644JFVE7B3N7RZM9" hidden="1">#REF!</definedName>
    <definedName name="BExH2UHF0QTJG107MULYB16WBJM9" localSheetId="18" hidden="1">#REF!</definedName>
    <definedName name="BExH2UHF0QTJG107MULYB16WBJM9" hidden="1">#REF!</definedName>
    <definedName name="BExH2WKXV8X5S2GSBBTWGI0NLNAH" localSheetId="18" hidden="1">#REF!</definedName>
    <definedName name="BExH2WKXV8X5S2GSBBTWGI0NLNAH" hidden="1">#REF!</definedName>
    <definedName name="BExH2XS1UFYFGU0S0EBXX90W2WE8" localSheetId="18" hidden="1">#REF!</definedName>
    <definedName name="BExH2XS1UFYFGU0S0EBXX90W2WE8" hidden="1">#REF!</definedName>
    <definedName name="BExH2XS2TND9SB0GC295R4FP6K5Y" localSheetId="18" hidden="1">#REF!</definedName>
    <definedName name="BExH2XS2TND9SB0GC295R4FP6K5Y" hidden="1">#REF!</definedName>
    <definedName name="BExH2ZA0SZ4SSITL50NA8LZ3OEX6" localSheetId="18" hidden="1">#REF!</definedName>
    <definedName name="BExH2ZA0SZ4SSITL50NA8LZ3OEX6" hidden="1">#REF!</definedName>
    <definedName name="BExH31Z3JNVJPESWKXHILGXZHP2M" localSheetId="18" hidden="1">#REF!</definedName>
    <definedName name="BExH31Z3JNVJPESWKXHILGXZHP2M" hidden="1">#REF!</definedName>
    <definedName name="BExH3E9HZ3QJCDZW7WI7YACFQCHE" localSheetId="18" hidden="1">#REF!</definedName>
    <definedName name="BExH3E9HZ3QJCDZW7WI7YACFQCHE" hidden="1">#REF!</definedName>
    <definedName name="BExH3IRB6764RQ5HBYRLH6XCT29X" localSheetId="18" hidden="1">#REF!</definedName>
    <definedName name="BExH3IRB6764RQ5HBYRLH6XCT29X" hidden="1">#REF!</definedName>
    <definedName name="BExIG2U8V6RSB47SXLCQG3Q68YRO" localSheetId="18" hidden="1">#REF!</definedName>
    <definedName name="BExIG2U8V6RSB47SXLCQG3Q68YRO" hidden="1">#REF!</definedName>
    <definedName name="BExIGHTQQA3RHXK08CNPZI42FVSA" localSheetId="18" hidden="1">#REF!</definedName>
    <definedName name="BExIGHTQQA3RHXK08CNPZI42FVSA" hidden="1">#REF!</definedName>
    <definedName name="BExIGJBO8R13LV7CZ7C1YCP974NN" localSheetId="18" hidden="1">#REF!</definedName>
    <definedName name="BExIGJBO8R13LV7CZ7C1YCP974NN" hidden="1">#REF!</definedName>
    <definedName name="BExIGWT86FPOEYTI8GXCGU5Y3KGK" localSheetId="18" hidden="1">#REF!</definedName>
    <definedName name="BExIGWT86FPOEYTI8GXCGU5Y3KGK" hidden="1">#REF!</definedName>
    <definedName name="BExIHBHXA7E7VUTBVHXXXCH3A5CL" localSheetId="18" hidden="1">#REF!</definedName>
    <definedName name="BExIHBHXA7E7VUTBVHXXXCH3A5CL" hidden="1">#REF!</definedName>
    <definedName name="BExIHBHXMSLC44C053SZXSYO7792" localSheetId="18" hidden="1">#REF!</definedName>
    <definedName name="BExIHBHXMSLC44C053SZXSYO7792" hidden="1">#REF!</definedName>
    <definedName name="BExIHPQCQTGEW8QOJVIQ4VX0P6DX" localSheetId="18" hidden="1">#REF!</definedName>
    <definedName name="BExIHPQCQTGEW8QOJVIQ4VX0P6DX" hidden="1">#REF!</definedName>
    <definedName name="BExII1F6IZ6R90QEXPQM797VHUO1" localSheetId="18" hidden="1">#REF!</definedName>
    <definedName name="BExII1F6IZ6R90QEXPQM797VHUO1" hidden="1">#REF!</definedName>
    <definedName name="BExII1KN91Q7DLW0UB7W2TJ5ACT9" localSheetId="18" hidden="1">#REF!</definedName>
    <definedName name="BExII1KN91Q7DLW0UB7W2TJ5ACT9" hidden="1">#REF!</definedName>
    <definedName name="BExII50LI8I0CDOOZEMIVHVA2V95" localSheetId="18" hidden="1">#REF!</definedName>
    <definedName name="BExII50LI8I0CDOOZEMIVHVA2V95" hidden="1">#REF!</definedName>
    <definedName name="BExIIFCX8RFH3G7Q9DCH3HTE14VA" localSheetId="18" hidden="1">#REF!</definedName>
    <definedName name="BExIIFCX8RFH3G7Q9DCH3HTE14VA" hidden="1">#REF!</definedName>
    <definedName name="BExIIXMY38TQD12CVV4S57L3I809" localSheetId="18" hidden="1">#REF!</definedName>
    <definedName name="BExIIXMY38TQD12CVV4S57L3I809" hidden="1">#REF!</definedName>
    <definedName name="BExIIY37NEVU2LGS1JE4VR9AN6W4" localSheetId="18" hidden="1">#REF!</definedName>
    <definedName name="BExIIY37NEVU2LGS1JE4VR9AN6W4" hidden="1">#REF!</definedName>
    <definedName name="BExIIYJAGXR8TPZ1KCYM7EGJ79UW" localSheetId="18" hidden="1">#REF!</definedName>
    <definedName name="BExIIYJAGXR8TPZ1KCYM7EGJ79UW" hidden="1">#REF!</definedName>
    <definedName name="BExIJ3160YCWGAVEU0208ZGXXG3P" localSheetId="18" hidden="1">#REF!</definedName>
    <definedName name="BExIJ3160YCWGAVEU0208ZGXXG3P" hidden="1">#REF!</definedName>
    <definedName name="BExIJDISZXEB5UAC55IINOQUBK6X" localSheetId="18" hidden="1">#REF!</definedName>
    <definedName name="BExIJDISZXEB5UAC55IINOQUBK6X" hidden="1">#REF!</definedName>
    <definedName name="BExIJFGZJ5ED9D6KAY4PGQYLELAX" localSheetId="18" hidden="1">#REF!</definedName>
    <definedName name="BExIJFGZJ5ED9D6KAY4PGQYLELAX" hidden="1">#REF!</definedName>
    <definedName name="BExIJQK80ZEKSTV62E59AYJYUNLI" localSheetId="18" hidden="1">#REF!</definedName>
    <definedName name="BExIJQK80ZEKSTV62E59AYJYUNLI" hidden="1">#REF!</definedName>
    <definedName name="BExIJRLX3M0YQLU1D5Y9V7HM5QNM" localSheetId="18" hidden="1">#REF!</definedName>
    <definedName name="BExIJRLX3M0YQLU1D5Y9V7HM5QNM" hidden="1">#REF!</definedName>
    <definedName name="BExIJRR7W9PHGSRPIHRCMIOQUEQQ" localSheetId="18" hidden="1">'[38]10.08.4 -2008 Capital'!#REF!</definedName>
    <definedName name="BExIJRR7W9PHGSRPIHRCMIOQUEQQ" hidden="1">'[38]10.08.4 -2008 Capital'!#REF!</definedName>
    <definedName name="BExIJV22J0QA7286KNPMHO1ZUCB3" localSheetId="18" hidden="1">#REF!</definedName>
    <definedName name="BExIJV22J0QA7286KNPMHO1ZUCB3" hidden="1">#REF!</definedName>
    <definedName name="BExIJVI6OC7B6ZE9V4PAOYZXKNER" localSheetId="18" hidden="1">#REF!</definedName>
    <definedName name="BExIJVI6OC7B6ZE9V4PAOYZXKNER" hidden="1">#REF!</definedName>
    <definedName name="BExIJWK0NGTGQ4X7D5VIVXD14JHI" localSheetId="18" hidden="1">#REF!</definedName>
    <definedName name="BExIJWK0NGTGQ4X7D5VIVXD14JHI" hidden="1">#REF!</definedName>
    <definedName name="BExIJWPCIYINEJUTXU74VK7WG031" localSheetId="18" hidden="1">#REF!</definedName>
    <definedName name="BExIJWPCIYINEJUTXU74VK7WG031" hidden="1">#REF!</definedName>
    <definedName name="BExIKHTXPZR5A8OHB6HDP6QWDHAD" localSheetId="18" hidden="1">#REF!</definedName>
    <definedName name="BExIKHTXPZR5A8OHB6HDP6QWDHAD" hidden="1">#REF!</definedName>
    <definedName name="BExIKMMJOETSAXJYY1SIKM58LMA2" localSheetId="18" hidden="1">#REF!</definedName>
    <definedName name="BExIKMMJOETSAXJYY1SIKM58LMA2" hidden="1">#REF!</definedName>
    <definedName name="BExIKPRX2YB5WTLBU2ZIIDKTSZLB" localSheetId="18" hidden="1">#REF!</definedName>
    <definedName name="BExIKPRX2YB5WTLBU2ZIIDKTSZLB" hidden="1">#REF!</definedName>
    <definedName name="BExIKRF6AQ6VOO9KCIWSM6FY8M7D" localSheetId="18" hidden="1">#REF!</definedName>
    <definedName name="BExIKRF6AQ6VOO9KCIWSM6FY8M7D" hidden="1">#REF!</definedName>
    <definedName name="BExIKTYZESFT3LC0ASFMFKSE0D1X" localSheetId="18" hidden="1">#REF!</definedName>
    <definedName name="BExIKTYZESFT3LC0ASFMFKSE0D1X" hidden="1">#REF!</definedName>
    <definedName name="BExIKXVA6M8K0PTRYAGXS666L335" localSheetId="18" hidden="1">#REF!</definedName>
    <definedName name="BExIKXVA6M8K0PTRYAGXS666L335" hidden="1">#REF!</definedName>
    <definedName name="BExIL0PMZ2SXK9R6MLP43KBU1J2P" localSheetId="18" hidden="1">#REF!</definedName>
    <definedName name="BExIL0PMZ2SXK9R6MLP43KBU1J2P" hidden="1">#REF!</definedName>
    <definedName name="BExIL5T2MJ6DXYOSVERRYGMDV89B" localSheetId="18" hidden="1">#REF!</definedName>
    <definedName name="BExIL5T2MJ6DXYOSVERRYGMDV89B" hidden="1">#REF!</definedName>
    <definedName name="BExILAAXRTRAD18K74M6MGUEEPUM" localSheetId="18" hidden="1">#REF!</definedName>
    <definedName name="BExILAAXRTRAD18K74M6MGUEEPUM" hidden="1">#REF!</definedName>
    <definedName name="BExILG5F338C0FFLMVOKMKF8X5ZP" localSheetId="18" hidden="1">#REF!</definedName>
    <definedName name="BExILG5F338C0FFLMVOKMKF8X5ZP" hidden="1">#REF!</definedName>
    <definedName name="BExILGQTQM0HOD0BJI90YO7GOIN3" localSheetId="18" hidden="1">#REF!</definedName>
    <definedName name="BExILGQTQM0HOD0BJI90YO7GOIN3" hidden="1">#REF!</definedName>
    <definedName name="BExILT6PKNSR8V0R7UE4IRG590K6" localSheetId="18" hidden="1">'[38]10.08.2 - 2008 Expense'!#REF!</definedName>
    <definedName name="BExILT6PKNSR8V0R7UE4IRG590K6" hidden="1">'[38]10.08.2 - 2008 Expense'!#REF!</definedName>
    <definedName name="BExIM2RXHXBO63HBPUTHF775IIRY" localSheetId="18" hidden="1">#REF!</definedName>
    <definedName name="BExIM2RXHXBO63HBPUTHF775IIRY" hidden="1">#REF!</definedName>
    <definedName name="BExIM2RXYS5BGYBDMFLU1RE8039Z" localSheetId="18" hidden="1">#REF!</definedName>
    <definedName name="BExIM2RXYS5BGYBDMFLU1RE8039Z" hidden="1">#REF!</definedName>
    <definedName name="BExIM2X90EG7J3TG4STQ3J1OK4O0" localSheetId="18" hidden="1">'[38]10.08.5 - 2008 Capital - TDBU'!#REF!</definedName>
    <definedName name="BExIM2X90EG7J3TG4STQ3J1OK4O0" hidden="1">'[38]10.08.5 - 2008 Capital - TDBU'!#REF!</definedName>
    <definedName name="BExIM9DBUB7ZGF4B20FVUO9QGOX2" localSheetId="18" hidden="1">#REF!</definedName>
    <definedName name="BExIM9DBUB7ZGF4B20FVUO9QGOX2" hidden="1">#REF!</definedName>
    <definedName name="BExIMGK9Z94TFPWWZFMD10HV0IF6" localSheetId="18" hidden="1">#REF!</definedName>
    <definedName name="BExIMGK9Z94TFPWWZFMD10HV0IF6" hidden="1">#REF!</definedName>
    <definedName name="BExIMPEGKG18TELVC33T4OQTNBWC" localSheetId="18" hidden="1">#REF!</definedName>
    <definedName name="BExIMPEGKG18TELVC33T4OQTNBWC" hidden="1">#REF!</definedName>
    <definedName name="BExIN4OR435DL1US13JQPOQK8GD5" localSheetId="18" hidden="1">#REF!</definedName>
    <definedName name="BExIN4OR435DL1US13JQPOQK8GD5" hidden="1">#REF!</definedName>
    <definedName name="BExINHQ27UK79IK88M14P1SXMGYY" localSheetId="18" hidden="1">#REF!</definedName>
    <definedName name="BExINHQ27UK79IK88M14P1SXMGYY" hidden="1">#REF!</definedName>
    <definedName name="BExINI6A7H3KSFRFA6UBBDPKW37F" localSheetId="18" hidden="1">#REF!</definedName>
    <definedName name="BExINI6A7H3KSFRFA6UBBDPKW37F" hidden="1">#REF!</definedName>
    <definedName name="BExINIMK8XC3JOBT2EXYFHHH52H0" localSheetId="18" hidden="1">#REF!</definedName>
    <definedName name="BExINIMK8XC3JOBT2EXYFHHH52H0" hidden="1">#REF!</definedName>
    <definedName name="BExINLGZTO4C3BAICP3I2AXI0L3L" localSheetId="18" hidden="1">#REF!</definedName>
    <definedName name="BExINLGZTO4C3BAICP3I2AXI0L3L" hidden="1">#REF!</definedName>
    <definedName name="BExINLX401ZKEGWU168DS4JUM2J6" localSheetId="18" hidden="1">#REF!</definedName>
    <definedName name="BExINLX401ZKEGWU168DS4JUM2J6" hidden="1">#REF!</definedName>
    <definedName name="BExINMYYJO1FTV1CZF6O5XCFAMQX" localSheetId="18" hidden="1">#REF!</definedName>
    <definedName name="BExINMYYJO1FTV1CZF6O5XCFAMQX" hidden="1">#REF!</definedName>
    <definedName name="BExINP2H4KI05FRFV5PKZFE00HKO" localSheetId="18" hidden="1">#REF!</definedName>
    <definedName name="BExINP2H4KI05FRFV5PKZFE00HKO" hidden="1">#REF!</definedName>
    <definedName name="BExINT417AAWC51ZA8X4TDJCY0QV" localSheetId="18" hidden="1">#REF!</definedName>
    <definedName name="BExINT417AAWC51ZA8X4TDJCY0QV" hidden="1">#REF!</definedName>
    <definedName name="BExINT42RM5ESUGKCUN8IZFWEV0D" localSheetId="18" hidden="1">'[38]10.08.5 - 2008 Capital - TDBU'!#REF!</definedName>
    <definedName name="BExINT42RM5ESUGKCUN8IZFWEV0D" hidden="1">'[38]10.08.5 - 2008 Capital - TDBU'!#REF!</definedName>
    <definedName name="BExINZELBUXH0OXC3SAGC2RI7DXI" localSheetId="18" hidden="1">#REF!</definedName>
    <definedName name="BExINZELBUXH0OXC3SAGC2RI7DXI" hidden="1">#REF!</definedName>
    <definedName name="BExINZELVWYGU876QUUZCIMXPBQC" localSheetId="18" hidden="1">#REF!</definedName>
    <definedName name="BExINZELVWYGU876QUUZCIMXPBQC" hidden="1">#REF!</definedName>
    <definedName name="BExIOCQUQHKUU1KONGSDOLQTQEIC" localSheetId="18" hidden="1">#REF!</definedName>
    <definedName name="BExIOCQUQHKUU1KONGSDOLQTQEIC" hidden="1">#REF!</definedName>
    <definedName name="BExIOFL8Y5O61VLKTB4H20IJNWS1" localSheetId="18" hidden="1">#REF!</definedName>
    <definedName name="BExIOFL8Y5O61VLKTB4H20IJNWS1" hidden="1">#REF!</definedName>
    <definedName name="BExIOMBXRW5NS4ZPYX9G5QREZ5J6" localSheetId="18" hidden="1">#REF!</definedName>
    <definedName name="BExIOMBXRW5NS4ZPYX9G5QREZ5J6" hidden="1">#REF!</definedName>
    <definedName name="BExIOP121EZ0DOU3CLJVVRUIQPZP" localSheetId="18" hidden="1">#REF!</definedName>
    <definedName name="BExIOP121EZ0DOU3CLJVVRUIQPZP" hidden="1">#REF!</definedName>
    <definedName name="BExIORA3GK78T7C7SNBJJUONJ0LS" localSheetId="18" hidden="1">#REF!</definedName>
    <definedName name="BExIORA3GK78T7C7SNBJJUONJ0LS" hidden="1">#REF!</definedName>
    <definedName name="BExIORFDXP4AVIEBLSTZ8ETSXMNM" localSheetId="18" hidden="1">#REF!</definedName>
    <definedName name="BExIORFDXP4AVIEBLSTZ8ETSXMNM" hidden="1">#REF!</definedName>
    <definedName name="BExIOTZ5EFZ2NASVQ05RH15HRSW6" localSheetId="18" hidden="1">#REF!</definedName>
    <definedName name="BExIOTZ5EFZ2NASVQ05RH15HRSW6" hidden="1">#REF!</definedName>
    <definedName name="BExIP8YNN6UUE1GZ223SWH7DLGKO" localSheetId="18" hidden="1">#REF!</definedName>
    <definedName name="BExIP8YNN6UUE1GZ223SWH7DLGKO" hidden="1">#REF!</definedName>
    <definedName name="BExIPAB4AOL592OJCC1CFAXTLF1A" localSheetId="18" hidden="1">#REF!</definedName>
    <definedName name="BExIPAB4AOL592OJCC1CFAXTLF1A" hidden="1">#REF!</definedName>
    <definedName name="BExIPB25DKX4S2ZCKQN7KWSC3JBF" localSheetId="18" hidden="1">#REF!</definedName>
    <definedName name="BExIPB25DKX4S2ZCKQN7KWSC3JBF" hidden="1">#REF!</definedName>
    <definedName name="BExIPDLT8JYAMGE5HTN4D1YHZF3V" localSheetId="18" hidden="1">#REF!</definedName>
    <definedName name="BExIPDLT8JYAMGE5HTN4D1YHZF3V" hidden="1">#REF!</definedName>
    <definedName name="BExIPG040Q08EWIWL6CAVR3GRI43" localSheetId="18" hidden="1">#REF!</definedName>
    <definedName name="BExIPG040Q08EWIWL6CAVR3GRI43" hidden="1">#REF!</definedName>
    <definedName name="BExIPKNFUDPDKOSH5GHDVNA8D66S" localSheetId="18" hidden="1">#REF!</definedName>
    <definedName name="BExIPKNFUDPDKOSH5GHDVNA8D66S" hidden="1">#REF!</definedName>
    <definedName name="BExIPMWA45QSRZBQJ7J5LE412D5J" localSheetId="18" hidden="1">#REF!</definedName>
    <definedName name="BExIPMWA45QSRZBQJ7J5LE412D5J" hidden="1">#REF!</definedName>
    <definedName name="BExIQ1VS9A2FHVD9TUHKG9K8EVVP" localSheetId="18" hidden="1">#REF!</definedName>
    <definedName name="BExIQ1VS9A2FHVD9TUHKG9K8EVVP" hidden="1">#REF!</definedName>
    <definedName name="BExIQ3J19L30PSQ2CXNT6IHW0I7V" localSheetId="18" hidden="1">#REF!</definedName>
    <definedName name="BExIQ3J19L30PSQ2CXNT6IHW0I7V" hidden="1">#REF!</definedName>
    <definedName name="BExIQ3OJ7M04XCY276IO0LJA5XUK" localSheetId="18" hidden="1">#REF!</definedName>
    <definedName name="BExIQ3OJ7M04XCY276IO0LJA5XUK" hidden="1">#REF!</definedName>
    <definedName name="BExIQ5S19ITB0NDRUN4XV7B905ED" localSheetId="18" hidden="1">#REF!</definedName>
    <definedName name="BExIQ5S19ITB0NDRUN4XV7B905ED" hidden="1">#REF!</definedName>
    <definedName name="BExIQ9TMQT2EIXSVQW7GVSOAW2VJ" localSheetId="18" hidden="1">#REF!</definedName>
    <definedName name="BExIQ9TMQT2EIXSVQW7GVSOAW2VJ" hidden="1">#REF!</definedName>
    <definedName name="BExIQBMD65DFEB0L9IMMF5X977SD" localSheetId="18" hidden="1">#REF!</definedName>
    <definedName name="BExIQBMD65DFEB0L9IMMF5X977SD" hidden="1">#REF!</definedName>
    <definedName name="BExIQBMDE1L6J4H27K1FMSHQKDSE" localSheetId="18" hidden="1">#REF!</definedName>
    <definedName name="BExIQBMDE1L6J4H27K1FMSHQKDSE" hidden="1">#REF!</definedName>
    <definedName name="BExIQE65LVXUOF3UZFO7SDHFJH22" localSheetId="18" hidden="1">#REF!</definedName>
    <definedName name="BExIQE65LVXUOF3UZFO7SDHFJH22" hidden="1">#REF!</definedName>
    <definedName name="BExIQG9OO2KKBOWTMD1OXY36TEGA" localSheetId="18" hidden="1">#REF!</definedName>
    <definedName name="BExIQG9OO2KKBOWTMD1OXY36TEGA" hidden="1">#REF!</definedName>
    <definedName name="BExIQK0FRCT7UYOFPF6HXKEUARNJ" localSheetId="18" hidden="1">#REF!</definedName>
    <definedName name="BExIQK0FRCT7UYOFPF6HXKEUARNJ" hidden="1">#REF!</definedName>
    <definedName name="BExIQX1XBB31HZTYEEVOBSE3C5A6" localSheetId="18" hidden="1">#REF!</definedName>
    <definedName name="BExIQX1XBB31HZTYEEVOBSE3C5A6" hidden="1">#REF!</definedName>
    <definedName name="BExIQY8VY7PMQS8M5UTSAF3MW1AA" localSheetId="18" hidden="1">#REF!</definedName>
    <definedName name="BExIQY8VY7PMQS8M5UTSAF3MW1AA" hidden="1">#REF!</definedName>
    <definedName name="BExIQYP5T1TPAQYW7QU1Q98BKX7W" localSheetId="18" hidden="1">#REF!</definedName>
    <definedName name="BExIQYP5T1TPAQYW7QU1Q98BKX7W" hidden="1">#REF!</definedName>
    <definedName name="BExIR2ALYRP9FW99DK2084J7IIDC" localSheetId="18" hidden="1">#REF!</definedName>
    <definedName name="BExIR2ALYRP9FW99DK2084J7IIDC" hidden="1">#REF!</definedName>
    <definedName name="BExIR8FQETPTQYW37DBVDWG3J4JW" localSheetId="18" hidden="1">#REF!</definedName>
    <definedName name="BExIR8FQETPTQYW37DBVDWG3J4JW" hidden="1">#REF!</definedName>
    <definedName name="BExIRRBGTY01OQOI3U5SW59RFDFI" localSheetId="18" hidden="1">#REF!</definedName>
    <definedName name="BExIRRBGTY01OQOI3U5SW59RFDFI" hidden="1">#REF!</definedName>
    <definedName name="BExIRRM8X5MMN15Q3SPFK13165ZR" localSheetId="18" hidden="1">'[38]10.08.5 - 2008 Capital - TDBU'!#REF!</definedName>
    <definedName name="BExIRRM8X5MMN15Q3SPFK13165ZR" hidden="1">'[38]10.08.5 - 2008 Capital - TDBU'!#REF!</definedName>
    <definedName name="BExIS4T0DRF57HYO7OGG72KBOFOI" localSheetId="18" hidden="1">#REF!</definedName>
    <definedName name="BExIS4T0DRF57HYO7OGG72KBOFOI" hidden="1">#REF!</definedName>
    <definedName name="BExIS77BJDDK18PGI9DSEYZPIL7P" localSheetId="18" hidden="1">#REF!</definedName>
    <definedName name="BExIS77BJDDK18PGI9DSEYZPIL7P" hidden="1">#REF!</definedName>
    <definedName name="BExIS8UME1A94FJH5YHFVEO8E03Z" localSheetId="18" hidden="1">#REF!</definedName>
    <definedName name="BExIS8UME1A94FJH5YHFVEO8E03Z" hidden="1">#REF!</definedName>
    <definedName name="BExIS8USL1T3Z97CZ30HJ98E2GXQ" localSheetId="18" hidden="1">#REF!</definedName>
    <definedName name="BExIS8USL1T3Z97CZ30HJ98E2GXQ" hidden="1">#REF!</definedName>
    <definedName name="BExISC5B700MZUBFTQ9K4IKTF7HR" localSheetId="18" hidden="1">#REF!</definedName>
    <definedName name="BExISC5B700MZUBFTQ9K4IKTF7HR" hidden="1">#REF!</definedName>
    <definedName name="BExISDHXS49S1H56ENBPRF1NLD5C" localSheetId="18" hidden="1">#REF!</definedName>
    <definedName name="BExISDHXS49S1H56ENBPRF1NLD5C" hidden="1">#REF!</definedName>
    <definedName name="BExISM1JLV54A21A164IURMPGUMU" localSheetId="18" hidden="1">#REF!</definedName>
    <definedName name="BExISM1JLV54A21A164IURMPGUMU" hidden="1">#REF!</definedName>
    <definedName name="BExISRFKJYUZ4AKW44IJF7RF9Y90" localSheetId="18" hidden="1">#REF!</definedName>
    <definedName name="BExISRFKJYUZ4AKW44IJF7RF9Y90" hidden="1">#REF!</definedName>
    <definedName name="BExISXVMB9A7MHHRJTQGWLTINL5K" localSheetId="18" hidden="1">#REF!</definedName>
    <definedName name="BExISXVMB9A7MHHRJTQGWLTINL5K" hidden="1">#REF!</definedName>
    <definedName name="BExIT1MK8TBAK3SNP36A8FKDQSOK" localSheetId="18" hidden="1">#REF!</definedName>
    <definedName name="BExIT1MK8TBAK3SNP36A8FKDQSOK" hidden="1">#REF!</definedName>
    <definedName name="BExITBNYANV2S8KD56GOGCKW393R" localSheetId="18" hidden="1">#REF!</definedName>
    <definedName name="BExITBNYANV2S8KD56GOGCKW393R" hidden="1">#REF!</definedName>
    <definedName name="BExItemGrid">#REF!</definedName>
    <definedName name="BExITENTNC8AZE7V0WRWRYW8HP0C" localSheetId="18" hidden="1">#REF!</definedName>
    <definedName name="BExITENTNC8AZE7V0WRWRYW8HP0C" hidden="1">#REF!</definedName>
    <definedName name="BExITKI640SU7Y4KLZY9I1Z9R6TT" localSheetId="18" hidden="1">#REF!</definedName>
    <definedName name="BExITKI640SU7Y4KLZY9I1Z9R6TT" hidden="1">#REF!</definedName>
    <definedName name="BExITTSMS5QHJIV39IX8L172UTTU" localSheetId="18" hidden="1">#REF!</definedName>
    <definedName name="BExITTSMS5QHJIV39IX8L172UTTU" hidden="1">#REF!</definedName>
    <definedName name="BExITU3FT317H7G8057DIO12TN7U" localSheetId="18" hidden="1">#REF!</definedName>
    <definedName name="BExITU3FT317H7G8057DIO12TN7U" hidden="1">#REF!</definedName>
    <definedName name="BExITXE2V3RFP2CB0EZVVTMZFX7T" localSheetId="18" hidden="1">#REF!</definedName>
    <definedName name="BExITXE2V3RFP2CB0EZVVTMZFX7T" hidden="1">#REF!</definedName>
    <definedName name="BExIUAFCGGFQDEDMTXUYTTA3EYBT" localSheetId="18" hidden="1">#REF!</definedName>
    <definedName name="BExIUAFCGGFQDEDMTXUYTTA3EYBT" hidden="1">#REF!</definedName>
    <definedName name="BExIUD4OJGH65NFNQ4VMCE3R4J1X" localSheetId="18" hidden="1">#REF!</definedName>
    <definedName name="BExIUD4OJGH65NFNQ4VMCE3R4J1X" hidden="1">#REF!</definedName>
    <definedName name="BExIUKGWIPE992U6T8OUR0LZQDXK" localSheetId="18" hidden="1">#REF!</definedName>
    <definedName name="BExIUKGWIPE992U6T8OUR0LZQDXK" hidden="1">#REF!</definedName>
    <definedName name="BExIUM46R6FW1PBJUL86BQVXB96X" localSheetId="18" hidden="1">#REF!</definedName>
    <definedName name="BExIUM46R6FW1PBJUL86BQVXB96X" hidden="1">#REF!</definedName>
    <definedName name="BExIUTB5OAAXYW0OFMP0PS40SPOB" localSheetId="18" hidden="1">#REF!</definedName>
    <definedName name="BExIUTB5OAAXYW0OFMP0PS40SPOB" hidden="1">#REF!</definedName>
    <definedName name="BExIUUT2MHIOV6R3WHA0DPM1KBKY" localSheetId="18" hidden="1">#REF!</definedName>
    <definedName name="BExIUUT2MHIOV6R3WHA0DPM1KBKY" hidden="1">#REF!</definedName>
    <definedName name="BExIUY3RMHPHDAHQNA21GY3ZUTMU" localSheetId="18" hidden="1">#REF!</definedName>
    <definedName name="BExIUY3RMHPHDAHQNA21GY3ZUTMU" hidden="1">#REF!</definedName>
    <definedName name="BExIUYPDT1AM6MWGWQS646PIZIWC" localSheetId="18" hidden="1">#REF!</definedName>
    <definedName name="BExIUYPDT1AM6MWGWQS646PIZIWC" hidden="1">#REF!</definedName>
    <definedName name="BExIV0I2O9F8D1UK1SI8AEYR6U0A" localSheetId="18" hidden="1">#REF!</definedName>
    <definedName name="BExIV0I2O9F8D1UK1SI8AEYR6U0A" hidden="1">#REF!</definedName>
    <definedName name="BExIV2LM38XPLRTWT0R44TMQ59E5" localSheetId="18" hidden="1">#REF!</definedName>
    <definedName name="BExIV2LM38XPLRTWT0R44TMQ59E5" hidden="1">#REF!</definedName>
    <definedName name="BExIV3HY4S0YRV1F7XEMF2YHAR2I" localSheetId="18" hidden="1">#REF!</definedName>
    <definedName name="BExIV3HY4S0YRV1F7XEMF2YHAR2I" hidden="1">#REF!</definedName>
    <definedName name="BExIV6HUZFRIFLXW2SICKGTAH1PV" localSheetId="18" hidden="1">#REF!</definedName>
    <definedName name="BExIV6HUZFRIFLXW2SICKGTAH1PV" hidden="1">#REF!</definedName>
    <definedName name="BExIV8AM80CS6E5TN6IATF33GV1V" localSheetId="18" hidden="1">#REF!</definedName>
    <definedName name="BExIV8AM80CS6E5TN6IATF33GV1V" hidden="1">#REF!</definedName>
    <definedName name="BExIVBFYNRU691AQPVWWPH7PG4PX" localSheetId="18" hidden="1">#REF!</definedName>
    <definedName name="BExIVBFYNRU691AQPVWWPH7PG4PX" hidden="1">#REF!</definedName>
    <definedName name="BExIVC6WZMHRBRGIBUVX0CO2RK05" localSheetId="18" hidden="1">#REF!</definedName>
    <definedName name="BExIVC6WZMHRBRGIBUVX0CO2RK05" hidden="1">#REF!</definedName>
    <definedName name="BExIVCXWL6H5LD9DHDIA4F5U9TQL" localSheetId="18" hidden="1">#REF!</definedName>
    <definedName name="BExIVCXWL6H5LD9DHDIA4F5U9TQL" hidden="1">#REF!</definedName>
    <definedName name="BExIVEL6GUMOY062S9PFOGOGJ1UX" localSheetId="18" hidden="1">#REF!</definedName>
    <definedName name="BExIVEL6GUMOY062S9PFOGOGJ1UX" hidden="1">#REF!</definedName>
    <definedName name="BExIVMOIPSEWSIHIDDLOXESQ28A0" localSheetId="18" hidden="1">#REF!</definedName>
    <definedName name="BExIVMOIPSEWSIHIDDLOXESQ28A0" hidden="1">#REF!</definedName>
    <definedName name="BExIVNVNJX9BYDLC88NG09YF5XQ6" localSheetId="18" hidden="1">#REF!</definedName>
    <definedName name="BExIVNVNJX9BYDLC88NG09YF5XQ6" hidden="1">#REF!</definedName>
    <definedName name="BExIVQVKLMGSRYT1LFZH0KUIA4OR" localSheetId="18" hidden="1">#REF!</definedName>
    <definedName name="BExIVQVKLMGSRYT1LFZH0KUIA4OR" hidden="1">#REF!</definedName>
    <definedName name="BExIVYTFI35KNR2XSA6N8OJYUTUR" localSheetId="18" hidden="1">#REF!</definedName>
    <definedName name="BExIVYTFI35KNR2XSA6N8OJYUTUR" hidden="1">#REF!</definedName>
    <definedName name="BExIWB3SY3WRIVIOF988DNNODBOA" localSheetId="18" hidden="1">#REF!</definedName>
    <definedName name="BExIWB3SY3WRIVIOF988DNNODBOA" hidden="1">#REF!</definedName>
    <definedName name="BExIWB99CG0H52LRD6QWPN4L6DV2" localSheetId="18" hidden="1">#REF!</definedName>
    <definedName name="BExIWB99CG0H52LRD6QWPN4L6DV2" hidden="1">#REF!</definedName>
    <definedName name="BExIWCGFM00Y1WAFPJT5KRD1K5XP" localSheetId="18" hidden="1">#REF!</definedName>
    <definedName name="BExIWCGFM00Y1WAFPJT5KRD1K5XP" hidden="1">#REF!</definedName>
    <definedName name="BExIWG1W7XP9DFYYSZAIOSHM0QLQ" localSheetId="18" hidden="1">#REF!</definedName>
    <definedName name="BExIWG1W7XP9DFYYSZAIOSHM0QLQ" hidden="1">#REF!</definedName>
    <definedName name="BExIWH3KUK94B7833DD4TB0Y6KP9" localSheetId="18" hidden="1">#REF!</definedName>
    <definedName name="BExIWH3KUK94B7833DD4TB0Y6KP9" hidden="1">#REF!</definedName>
    <definedName name="BExIWKE9MGIDWORBI43AWTUNYFAN" localSheetId="18" hidden="1">#REF!</definedName>
    <definedName name="BExIWKE9MGIDWORBI43AWTUNYFAN" hidden="1">#REF!</definedName>
    <definedName name="BExIWLFXFUPVKEPUHWJYGEW9I7SQ" localSheetId="18" hidden="1">#REF!</definedName>
    <definedName name="BExIWLFXFUPVKEPUHWJYGEW9I7SQ" hidden="1">#REF!</definedName>
    <definedName name="BExIWNZR6BI167OK1PHT0XMDHSMS" localSheetId="18" hidden="1">#REF!</definedName>
    <definedName name="BExIWNZR6BI167OK1PHT0XMDHSMS" hidden="1">#REF!</definedName>
    <definedName name="BExIWQ8KOCZ9G1137JOM03I28GP4" localSheetId="18" hidden="1">#REF!</definedName>
    <definedName name="BExIWQ8KOCZ9G1137JOM03I28GP4" hidden="1">#REF!</definedName>
    <definedName name="BExIX34PM5DBTRHRQWP6PL6WIX88" localSheetId="18" hidden="1">#REF!</definedName>
    <definedName name="BExIX34PM5DBTRHRQWP6PL6WIX88" hidden="1">#REF!</definedName>
    <definedName name="BExIX5OAP9KSUE5SIZCW9P39Q4WE" localSheetId="18" hidden="1">#REF!</definedName>
    <definedName name="BExIX5OAP9KSUE5SIZCW9P39Q4WE" hidden="1">#REF!</definedName>
    <definedName name="BExIXB7UUMLUUU4G2KWA00VKHNEJ" localSheetId="18" hidden="1">#REF!</definedName>
    <definedName name="BExIXB7UUMLUUU4G2KWA00VKHNEJ" hidden="1">#REF!</definedName>
    <definedName name="BExIXGRJPVJMUDGSG7IHPXPNO69B" localSheetId="18" hidden="1">#REF!</definedName>
    <definedName name="BExIXGRJPVJMUDGSG7IHPXPNO69B" hidden="1">#REF!</definedName>
    <definedName name="BExIXM5R87ZL3FHALWZXYCPHGX3E" localSheetId="18" hidden="1">#REF!</definedName>
    <definedName name="BExIXM5R87ZL3FHALWZXYCPHGX3E" hidden="1">#REF!</definedName>
    <definedName name="BExIXS036ZCKT2Z8XZKLZ8PFWQGL" localSheetId="18" hidden="1">#REF!</definedName>
    <definedName name="BExIXS036ZCKT2Z8XZKLZ8PFWQGL" hidden="1">#REF!</definedName>
    <definedName name="BExIXY5CF9PFM0P40AZ4U51TMWV0" localSheetId="18" hidden="1">#REF!</definedName>
    <definedName name="BExIXY5CF9PFM0P40AZ4U51TMWV0" hidden="1">#REF!</definedName>
    <definedName name="BExIYEXJBK8JDWIRSVV4RJSKZVV1" localSheetId="18" hidden="1">#REF!</definedName>
    <definedName name="BExIYEXJBK8JDWIRSVV4RJSKZVV1" hidden="1">#REF!</definedName>
    <definedName name="BExIYI2RH0K4225XO970K2IQ1E79" localSheetId="18" hidden="1">#REF!</definedName>
    <definedName name="BExIYI2RH0K4225XO970K2IQ1E79" hidden="1">#REF!</definedName>
    <definedName name="BExIYMPZ0KS2KOJFQAUQJ77L7701" localSheetId="18" hidden="1">#REF!</definedName>
    <definedName name="BExIYMPZ0KS2KOJFQAUQJ77L7701" hidden="1">#REF!</definedName>
    <definedName name="BExIYP9Q6FV9T0R9G3UDKLS4TTYX" localSheetId="18" hidden="1">#REF!</definedName>
    <definedName name="BExIYP9Q6FV9T0R9G3UDKLS4TTYX" hidden="1">#REF!</definedName>
    <definedName name="BExIYQ63QDPSPOEL1H0OP89YQTZH" localSheetId="18" hidden="1">'[38]10.08.2 - 2008 Expense'!#REF!</definedName>
    <definedName name="BExIYQ63QDPSPOEL1H0OP89YQTZH" hidden="1">'[38]10.08.2 - 2008 Expense'!#REF!</definedName>
    <definedName name="BExIYV9IMIVVVSZNL48E412WN7ZF" localSheetId="18" hidden="1">#REF!</definedName>
    <definedName name="BExIYV9IMIVVVSZNL48E412WN7ZF" hidden="1">#REF!</definedName>
    <definedName name="BExIYWWSSNFJ49218D4EO9QWKL69" localSheetId="18" hidden="1">#REF!</definedName>
    <definedName name="BExIYWWSSNFJ49218D4EO9QWKL69" hidden="1">#REF!</definedName>
    <definedName name="BExIYZGLDQ1TN7BIIN4RLDP31GIM" localSheetId="18" hidden="1">#REF!</definedName>
    <definedName name="BExIYZGLDQ1TN7BIIN4RLDP31GIM" hidden="1">#REF!</definedName>
    <definedName name="BExIZ4K0EZJK6PW3L8SVKTJFSWW9" localSheetId="18" hidden="1">#REF!</definedName>
    <definedName name="BExIZ4K0EZJK6PW3L8SVKTJFSWW9" hidden="1">#REF!</definedName>
    <definedName name="BExIZ5GDN6WSJ55BFCN2CC7G80L0" localSheetId="18" hidden="1">#REF!</definedName>
    <definedName name="BExIZ5GDN6WSJ55BFCN2CC7G80L0" hidden="1">#REF!</definedName>
    <definedName name="BExIZ6YBLNY9O1BQC129VGDXCVNX" localSheetId="18" hidden="1">#REF!</definedName>
    <definedName name="BExIZ6YBLNY9O1BQC129VGDXCVNX" hidden="1">#REF!</definedName>
    <definedName name="BExIZAECOEZGBAO29QMV14E6XDIV" localSheetId="18" hidden="1">#REF!</definedName>
    <definedName name="BExIZAECOEZGBAO29QMV14E6XDIV" hidden="1">#REF!</definedName>
    <definedName name="BExIZKVXYD5O2JBU81F2UFJZLLSI" localSheetId="18" hidden="1">#REF!</definedName>
    <definedName name="BExIZKVXYD5O2JBU81F2UFJZLLSI" hidden="1">#REF!</definedName>
    <definedName name="BExIZPZDHC8HGER83WHCZAHOX7LK" localSheetId="18" hidden="1">#REF!</definedName>
    <definedName name="BExIZPZDHC8HGER83WHCZAHOX7LK" hidden="1">#REF!</definedName>
    <definedName name="BExIZY2PUZ0OF9YKK1B13IW0VS6G" localSheetId="18" hidden="1">#REF!</definedName>
    <definedName name="BExIZY2PUZ0OF9YKK1B13IW0VS6G" hidden="1">#REF!</definedName>
    <definedName name="BExJ08KBRR2XMWW3VZMPSQKXHZUH" localSheetId="18" hidden="1">#REF!</definedName>
    <definedName name="BExJ08KBRR2XMWW3VZMPSQKXHZUH" hidden="1">#REF!</definedName>
    <definedName name="BExJ0DYJWXGE7DA39PYL3WM05U9O" localSheetId="18" hidden="1">#REF!</definedName>
    <definedName name="BExJ0DYJWXGE7DA39PYL3WM05U9O" hidden="1">#REF!</definedName>
    <definedName name="BExJ0MY8SY5J5V50H3UKE78ODTVB" localSheetId="18" hidden="1">#REF!</definedName>
    <definedName name="BExJ0MY8SY5J5V50H3UKE78ODTVB" hidden="1">#REF!</definedName>
    <definedName name="BExJ0YC98G37ML4N8FLP8D95EFRF" localSheetId="18" hidden="1">#REF!</definedName>
    <definedName name="BExJ0YC98G37ML4N8FLP8D95EFRF" hidden="1">#REF!</definedName>
    <definedName name="BExJ1PWWYANUHL8A16ETV0RDAXC3" localSheetId="18" hidden="1">#REF!</definedName>
    <definedName name="BExJ1PWWYANUHL8A16ETV0RDAXC3" hidden="1">#REF!</definedName>
    <definedName name="BExKCDYKAEV45AFXHVHZZ62E5BM3" localSheetId="18" hidden="1">#REF!</definedName>
    <definedName name="BExKCDYKAEV45AFXHVHZZ62E5BM3" hidden="1">#REF!</definedName>
    <definedName name="BExKCJCRGT5SGXIHDQI24Z6J8GI4" localSheetId="18" hidden="1">#REF!</definedName>
    <definedName name="BExKCJCRGT5SGXIHDQI24Z6J8GI4" hidden="1">#REF!</definedName>
    <definedName name="BExKDKO0W4AGQO1V7K6Q4VM750FT" localSheetId="18" hidden="1">#REF!</definedName>
    <definedName name="BExKDKO0W4AGQO1V7K6Q4VM750FT" hidden="1">#REF!</definedName>
    <definedName name="BExKDLF10G7W77J87QWH3ZGLUCLW" localSheetId="18" hidden="1">#REF!</definedName>
    <definedName name="BExKDLF10G7W77J87QWH3ZGLUCLW" hidden="1">#REF!</definedName>
    <definedName name="BExKE0PBX3XGOUM78ZT54ALDAVSP" localSheetId="18" hidden="1">#REF!</definedName>
    <definedName name="BExKE0PBX3XGOUM78ZT54ALDAVSP" hidden="1">#REF!</definedName>
    <definedName name="BExKEFE0I3MT6ZLC4T1L9465HKTN" localSheetId="18" hidden="1">#REF!</definedName>
    <definedName name="BExKEFE0I3MT6ZLC4T1L9465HKTN" hidden="1">#REF!</definedName>
    <definedName name="BExKEK6O5BVJP4VY02FY7JNAZ6BT" localSheetId="18" hidden="1">#REF!</definedName>
    <definedName name="BExKEK6O5BVJP4VY02FY7JNAZ6BT" hidden="1">#REF!</definedName>
    <definedName name="BExKEKXK6E6QX339ELPXDIRZSJE0" localSheetId="18" hidden="1">#REF!</definedName>
    <definedName name="BExKEKXK6E6QX339ELPXDIRZSJE0" hidden="1">#REF!</definedName>
    <definedName name="BExKEOOIBMP7N8033EY2CJYCBX6H" localSheetId="18" hidden="1">#REF!</definedName>
    <definedName name="BExKEOOIBMP7N8033EY2CJYCBX6H" hidden="1">#REF!</definedName>
    <definedName name="BExKEW0RR5LA3VC46A2BEOOMQE56" localSheetId="18" hidden="1">#REF!</definedName>
    <definedName name="BExKEW0RR5LA3VC46A2BEOOMQE56" hidden="1">#REF!</definedName>
    <definedName name="BExKFA3VI1CZK21SM0N3LZWT9LA1" localSheetId="18" hidden="1">#REF!</definedName>
    <definedName name="BExKFA3VI1CZK21SM0N3LZWT9LA1" hidden="1">#REF!</definedName>
    <definedName name="BExKFHGARZIYPYRZWQNLP5VVCRE2" localSheetId="18" hidden="1">#REF!</definedName>
    <definedName name="BExKFHGARZIYPYRZWQNLP5VVCRE2" hidden="1">#REF!</definedName>
    <definedName name="BExKFINBFV5J2NFRCL4YUO3YF0ZE" localSheetId="18" hidden="1">#REF!</definedName>
    <definedName name="BExKFINBFV5J2NFRCL4YUO3YF0ZE" hidden="1">#REF!</definedName>
    <definedName name="BExKFISRBFACTAMJSALEYMY66F6X" localSheetId="18" hidden="1">#REF!</definedName>
    <definedName name="BExKFISRBFACTAMJSALEYMY66F6X" hidden="1">#REF!</definedName>
    <definedName name="BExKFOSK5DJ151C4E8544UWMYTOC" localSheetId="18" hidden="1">#REF!</definedName>
    <definedName name="BExKFOSK5DJ151C4E8544UWMYTOC" hidden="1">#REF!</definedName>
    <definedName name="BExKFY32BHV278YC2ID5UIB5O51K" localSheetId="18" hidden="1">#REF!</definedName>
    <definedName name="BExKFY32BHV278YC2ID5UIB5O51K" hidden="1">#REF!</definedName>
    <definedName name="BExKFYJC4EVEV54F82K6VKP7Q3OU" localSheetId="18" hidden="1">#REF!</definedName>
    <definedName name="BExKFYJC4EVEV54F82K6VKP7Q3OU" hidden="1">#REF!</definedName>
    <definedName name="BExKG4IYHBKQQ8J8FN10GB2IKO33" localSheetId="18" hidden="1">#REF!</definedName>
    <definedName name="BExKG4IYHBKQQ8J8FN10GB2IKO33" hidden="1">#REF!</definedName>
    <definedName name="BExKG60XBDFYOF7ZU3F5US7CM2Y4" localSheetId="18" hidden="1">#REF!</definedName>
    <definedName name="BExKG60XBDFYOF7ZU3F5US7CM2Y4" hidden="1">#REF!</definedName>
    <definedName name="BExKG6XA0DGM4VUMUE4NHHVYVJ0J" localSheetId="18" hidden="1">#REF!</definedName>
    <definedName name="BExKG6XA0DGM4VUMUE4NHHVYVJ0J" hidden="1">#REF!</definedName>
    <definedName name="BExKGF0L44S78D33WMQ1A75TRKB9" localSheetId="18" hidden="1">#REF!</definedName>
    <definedName name="BExKGF0L44S78D33WMQ1A75TRKB9" hidden="1">#REF!</definedName>
    <definedName name="BExKGFRN31B3G20LMQ4LRF879J68" localSheetId="18" hidden="1">#REF!</definedName>
    <definedName name="BExKGFRN31B3G20LMQ4LRF879J68" hidden="1">#REF!</definedName>
    <definedName name="BExKGJD3U3ADZILP20U3EURP0UQP" localSheetId="18" hidden="1">#REF!</definedName>
    <definedName name="BExKGJD3U3ADZILP20U3EURP0UQP" hidden="1">#REF!</definedName>
    <definedName name="BExKGNK5YGKP0YHHTAAOV17Z9EIM" localSheetId="18" hidden="1">#REF!</definedName>
    <definedName name="BExKGNK5YGKP0YHHTAAOV17Z9EIM" hidden="1">#REF!</definedName>
    <definedName name="BExKGRLRYB3OW56X3JCUII1OOS3K" localSheetId="18" hidden="1">#REF!</definedName>
    <definedName name="BExKGRLRYB3OW56X3JCUII1OOS3K" hidden="1">#REF!</definedName>
    <definedName name="BExKGV77YH9YXIQTRKK2331QGYKF" localSheetId="18" hidden="1">#REF!</definedName>
    <definedName name="BExKGV77YH9YXIQTRKK2331QGYKF" hidden="1">#REF!</definedName>
    <definedName name="BExKH170S7VQ0NRNOWNT98XVEWUH" localSheetId="18" hidden="1">#REF!</definedName>
    <definedName name="BExKH170S7VQ0NRNOWNT98XVEWUH" hidden="1">#REF!</definedName>
    <definedName name="BExKH3FTZ5VGTB86W9M4AB39R0G8" localSheetId="18" hidden="1">#REF!</definedName>
    <definedName name="BExKH3FTZ5VGTB86W9M4AB39R0G8" hidden="1">#REF!</definedName>
    <definedName name="BExKH3FV5U5O6XZM7STS3NZKQFGJ" localSheetId="18" hidden="1">#REF!</definedName>
    <definedName name="BExKH3FV5U5O6XZM7STS3NZKQFGJ" hidden="1">#REF!</definedName>
    <definedName name="BExKHAMUH8NR3HRV0V6FHJE3ROLN" localSheetId="18" hidden="1">#REF!</definedName>
    <definedName name="BExKHAMUH8NR3HRV0V6FHJE3ROLN" hidden="1">#REF!</definedName>
    <definedName name="BExKHCFKOWFHO2WW0N7Y5XDXEWAO" localSheetId="18" hidden="1">#REF!</definedName>
    <definedName name="BExKHCFKOWFHO2WW0N7Y5XDXEWAO" hidden="1">#REF!</definedName>
    <definedName name="BExKHIVLONZ46HLMR50DEXKEUNEP" localSheetId="18" hidden="1">#REF!</definedName>
    <definedName name="BExKHIVLONZ46HLMR50DEXKEUNEP" hidden="1">#REF!</definedName>
    <definedName name="BExKHKDK2PRBCUJS8TEDP8K3VODQ" localSheetId="18" hidden="1">#REF!</definedName>
    <definedName name="BExKHKDK2PRBCUJS8TEDP8K3VODQ" hidden="1">#REF!</definedName>
    <definedName name="BExKHPM9XA0ADDK7TUR0N38EXWEP" localSheetId="18" hidden="1">#REF!</definedName>
    <definedName name="BExKHPM9XA0ADDK7TUR0N38EXWEP" hidden="1">#REF!</definedName>
    <definedName name="BExKHWD5BOLP8DQJHOIBWHYCSY9W" localSheetId="18" hidden="1">#REF!</definedName>
    <definedName name="BExKHWD5BOLP8DQJHOIBWHYCSY9W" hidden="1">#REF!</definedName>
    <definedName name="BExKI4076KXCDE5KXL79KT36OKLO" localSheetId="18" hidden="1">#REF!</definedName>
    <definedName name="BExKI4076KXCDE5KXL79KT36OKLO" hidden="1">#REF!</definedName>
    <definedName name="BExKI45P8VH8M6QPIX8B2CFPOGZ3" localSheetId="18" hidden="1">#REF!</definedName>
    <definedName name="BExKI45P8VH8M6QPIX8B2CFPOGZ3" hidden="1">#REF!</definedName>
    <definedName name="BExKI7LO70WYISR7Q0Y1ZDWO9M3B" localSheetId="18" hidden="1">#REF!</definedName>
    <definedName name="BExKI7LO70WYISR7Q0Y1ZDWO9M3B" hidden="1">#REF!</definedName>
    <definedName name="BExKIEN5C2YIQQSVLK8YO62XYJMM" localSheetId="18" hidden="1">#REF!</definedName>
    <definedName name="BExKIEN5C2YIQQSVLK8YO62XYJMM" hidden="1">#REF!</definedName>
    <definedName name="BExKIGQV6TXIZG039HBOJU62WP2U" localSheetId="18" hidden="1">#REF!</definedName>
    <definedName name="BExKIGQV6TXIZG039HBOJU62WP2U" hidden="1">#REF!</definedName>
    <definedName name="BExKILE008SF3KTAN8WML3XKI1NZ" localSheetId="18" hidden="1">#REF!</definedName>
    <definedName name="BExKILE008SF3KTAN8WML3XKI1NZ" hidden="1">#REF!</definedName>
    <definedName name="BExKINSBB6RS7I489QHMCOMU4Z2X" localSheetId="18" hidden="1">#REF!</definedName>
    <definedName name="BExKINSBB6RS7I489QHMCOMU4Z2X" hidden="1">#REF!</definedName>
    <definedName name="BExKIU87ZKSOC2DYZWFK6SAK9I8E" localSheetId="18" hidden="1">#REF!</definedName>
    <definedName name="BExKIU87ZKSOC2DYZWFK6SAK9I8E" hidden="1">#REF!</definedName>
    <definedName name="BExKJ449HLYX2DJ9UF0H9GTPSQ73" localSheetId="18" hidden="1">#REF!</definedName>
    <definedName name="BExKJ449HLYX2DJ9UF0H9GTPSQ73" hidden="1">#REF!</definedName>
    <definedName name="BExKJELX2RUC8UEC56IZPYYZXHA7" localSheetId="18" hidden="1">#REF!</definedName>
    <definedName name="BExKJELX2RUC8UEC56IZPYYZXHA7" hidden="1">#REF!</definedName>
    <definedName name="BExKJINMXS61G2TZEXCJAWVV4F57" localSheetId="18" hidden="1">#REF!</definedName>
    <definedName name="BExKJINMXS61G2TZEXCJAWVV4F57" hidden="1">#REF!</definedName>
    <definedName name="BExKJK5ME8KB7HA0180L7OUZDDGV" localSheetId="18" hidden="1">#REF!</definedName>
    <definedName name="BExKJK5ME8KB7HA0180L7OUZDDGV" hidden="1">#REF!</definedName>
    <definedName name="BExKJN5IF0VMDILJ5K8ZENF2QYV1" localSheetId="18" hidden="1">#REF!</definedName>
    <definedName name="BExKJN5IF0VMDILJ5K8ZENF2QYV1" hidden="1">#REF!</definedName>
    <definedName name="BExKJUSJPFUIK20FTVAFJWR2OUYX" localSheetId="18" hidden="1">#REF!</definedName>
    <definedName name="BExKJUSJPFUIK20FTVAFJWR2OUYX" hidden="1">#REF!</definedName>
    <definedName name="BExKK8VP5RS3D0UXZVKA37C4SYBP" localSheetId="18" hidden="1">#REF!</definedName>
    <definedName name="BExKK8VP5RS3D0UXZVKA37C4SYBP" hidden="1">#REF!</definedName>
    <definedName name="BExKKCRXE2B5CHO3044NF9QAKPIW" localSheetId="18" hidden="1">#REF!</definedName>
    <definedName name="BExKKCRXE2B5CHO3044NF9QAKPIW" hidden="1">#REF!</definedName>
    <definedName name="BExKKIM9NPF6B3SPMPIQB27HQME4" localSheetId="18" hidden="1">#REF!</definedName>
    <definedName name="BExKKIM9NPF6B3SPMPIQB27HQME4" hidden="1">#REF!</definedName>
    <definedName name="BExKKIX1BCBQ4R3K41QD8NTV0OV0" localSheetId="18" hidden="1">#REF!</definedName>
    <definedName name="BExKKIX1BCBQ4R3K41QD8NTV0OV0" hidden="1">#REF!</definedName>
    <definedName name="BExKKKV82VW7RLX4HE7NYZULP4I5" localSheetId="18" hidden="1">#REF!</definedName>
    <definedName name="BExKKKV82VW7RLX4HE7NYZULP4I5" hidden="1">#REF!</definedName>
    <definedName name="BExKKLGTZTV7J4XD4AGDM4UEZFTY" localSheetId="18" hidden="1">#REF!</definedName>
    <definedName name="BExKKLGTZTV7J4XD4AGDM4UEZFTY" hidden="1">#REF!</definedName>
    <definedName name="BExKKQ3ZWADYV03YHMXDOAMU90EB" localSheetId="18" hidden="1">#REF!</definedName>
    <definedName name="BExKKQ3ZWADYV03YHMXDOAMU90EB" hidden="1">#REF!</definedName>
    <definedName name="BExKKRWPS7N7KUY6X06X0TEINQM6" localSheetId="18" hidden="1">#REF!</definedName>
    <definedName name="BExKKRWPS7N7KUY6X06X0TEINQM6" hidden="1">#REF!</definedName>
    <definedName name="BExKKUGD2HMJWQEYZ8H3X1BMXFS9" localSheetId="18" hidden="1">#REF!</definedName>
    <definedName name="BExKKUGD2HMJWQEYZ8H3X1BMXFS9" hidden="1">#REF!</definedName>
    <definedName name="BExKKX05KCZZZPKOR1NE5A8RGVT4" localSheetId="18" hidden="1">#REF!</definedName>
    <definedName name="BExKKX05KCZZZPKOR1NE5A8RGVT4" hidden="1">#REF!</definedName>
    <definedName name="BExKKX5GX2R75C9E5OJC8AEQ02WR" localSheetId="18" hidden="1">#REF!</definedName>
    <definedName name="BExKKX5GX2R75C9E5OJC8AEQ02WR" hidden="1">#REF!</definedName>
    <definedName name="BExKLD6S9L66QYREYHBE5J44OK7X" localSheetId="18" hidden="1">#REF!</definedName>
    <definedName name="BExKLD6S9L66QYREYHBE5J44OK7X" hidden="1">#REF!</definedName>
    <definedName name="BExKLEZK32L28GYJWVO63BZ5E1JD" localSheetId="18" hidden="1">#REF!</definedName>
    <definedName name="BExKLEZK32L28GYJWVO63BZ5E1JD" hidden="1">#REF!</definedName>
    <definedName name="BExKLHTYKCAWH7WCYP78L3516NDH" localSheetId="18" hidden="1">#REF!</definedName>
    <definedName name="BExKLHTYKCAWH7WCYP78L3516NDH" hidden="1">#REF!</definedName>
    <definedName name="BExKLLKVVHT06LA55JB2FC871DC5" localSheetId="18" hidden="1">#REF!</definedName>
    <definedName name="BExKLLKVVHT06LA55JB2FC871DC5" hidden="1">#REF!</definedName>
    <definedName name="BExKMFUOVKD6ZRRWMW0FAANYOY14" localSheetId="18" hidden="1">'[38]10.08.4 -2008 Capital'!#REF!</definedName>
    <definedName name="BExKMFUOVKD6ZRRWMW0FAANYOY14" hidden="1">'[38]10.08.4 -2008 Capital'!#REF!</definedName>
    <definedName name="BExKMM52P2JTD826GL7EUFZ2GOWA" localSheetId="18" hidden="1">#REF!</definedName>
    <definedName name="BExKMM52P2JTD826GL7EUFZ2GOWA" hidden="1">#REF!</definedName>
    <definedName name="BExKMWBX4EH3EYJ07UFEM08NB40Z" localSheetId="18" hidden="1">#REF!</definedName>
    <definedName name="BExKMWBX4EH3EYJ07UFEM08NB40Z" hidden="1">#REF!</definedName>
    <definedName name="BExKNBGV2IR3S7M0BX4810KZB4V3" localSheetId="18" hidden="1">#REF!</definedName>
    <definedName name="BExKNBGV2IR3S7M0BX4810KZB4V3" hidden="1">#REF!</definedName>
    <definedName name="BExKNCTBZTSY3MO42VU5PLV6YUHZ" localSheetId="18" hidden="1">#REF!</definedName>
    <definedName name="BExKNCTBZTSY3MO42VU5PLV6YUHZ" hidden="1">#REF!</definedName>
    <definedName name="BExKNGV2YY749C42AQ2T9QNIE5C3" localSheetId="18" hidden="1">#REF!</definedName>
    <definedName name="BExKNGV2YY749C42AQ2T9QNIE5C3" hidden="1">#REF!</definedName>
    <definedName name="BExKNSP7EUXMQ7HQ1I4UI51T620P" localSheetId="18" hidden="1">#REF!</definedName>
    <definedName name="BExKNSP7EUXMQ7HQ1I4UI51T620P" hidden="1">#REF!</definedName>
    <definedName name="BExKNV8UOHVWEHDJWI2WMJ9X6QHZ" localSheetId="18" hidden="1">#REF!</definedName>
    <definedName name="BExKNV8UOHVWEHDJWI2WMJ9X6QHZ" hidden="1">#REF!</definedName>
    <definedName name="BExKNZLD7UATC1MYRNJD8H2NH4KU" localSheetId="18" hidden="1">#REF!</definedName>
    <definedName name="BExKNZLD7UATC1MYRNJD8H2NH4KU" hidden="1">#REF!</definedName>
    <definedName name="BExKNZQUKQQG2Y97R74G4O4BJP1L" localSheetId="18" hidden="1">#REF!</definedName>
    <definedName name="BExKNZQUKQQG2Y97R74G4O4BJP1L" hidden="1">#REF!</definedName>
    <definedName name="BExKO06X0EAD3ABEG1E8PWLDWHBA" localSheetId="18" hidden="1">#REF!</definedName>
    <definedName name="BExKO06X0EAD3ABEG1E8PWLDWHBA" hidden="1">#REF!</definedName>
    <definedName name="BExKO2AHHSGNI1AZOIOW21KPXKPE" localSheetId="18" hidden="1">#REF!</definedName>
    <definedName name="BExKO2AHHSGNI1AZOIOW21KPXKPE" hidden="1">#REF!</definedName>
    <definedName name="BExKO2FXWJWC5IZLDN8JHYILQJ2N" localSheetId="18" hidden="1">#REF!</definedName>
    <definedName name="BExKO2FXWJWC5IZLDN8JHYILQJ2N" hidden="1">#REF!</definedName>
    <definedName name="BExKO438WZ8FKOU00NURGFMOYXWN" localSheetId="18" hidden="1">#REF!</definedName>
    <definedName name="BExKO438WZ8FKOU00NURGFMOYXWN" hidden="1">#REF!</definedName>
    <definedName name="BExKOBVQIBD5QN64WI0VMWG8ECVY" localSheetId="18" hidden="1">#REF!</definedName>
    <definedName name="BExKOBVQIBD5QN64WI0VMWG8ECVY" hidden="1">#REF!</definedName>
    <definedName name="BExKODIZGWW2EQD0FEYW6WK6XLCM" localSheetId="18" hidden="1">#REF!</definedName>
    <definedName name="BExKODIZGWW2EQD0FEYW6WK6XLCM" hidden="1">#REF!</definedName>
    <definedName name="BExKOPO2HPWVQGAKW8LOZMPIDEFG" localSheetId="18" hidden="1">#REF!</definedName>
    <definedName name="BExKOPO2HPWVQGAKW8LOZMPIDEFG" hidden="1">#REF!</definedName>
    <definedName name="BExKOU0G4S03BPJYQJ7Q6BXA1XZE" localSheetId="18" hidden="1">#REF!</definedName>
    <definedName name="BExKOU0G4S03BPJYQJ7Q6BXA1XZE" hidden="1">#REF!</definedName>
    <definedName name="BExKP1NNUBCM89W1AWCQ4GYT46VL" localSheetId="18" hidden="1">'[38]10.08.4 -2008 Capital'!#REF!</definedName>
    <definedName name="BExKP1NNUBCM89W1AWCQ4GYT46VL" hidden="1">'[38]10.08.4 -2008 Capital'!#REF!</definedName>
    <definedName name="BExKPEZP0QTKOTLIMMIFSVTHQEEK" localSheetId="18" hidden="1">#REF!</definedName>
    <definedName name="BExKPEZP0QTKOTLIMMIFSVTHQEEK" hidden="1">#REF!</definedName>
    <definedName name="BExKPJXT3SWOS15NRMD9RAD4AXOC" localSheetId="18" hidden="1">#REF!</definedName>
    <definedName name="BExKPJXT3SWOS15NRMD9RAD4AXOC" hidden="1">#REF!</definedName>
    <definedName name="BExKPLFRCAYNO7ZNGISMPGFFXB00" localSheetId="18" hidden="1">#REF!</definedName>
    <definedName name="BExKPLFRCAYNO7ZNGISMPGFFXB00" hidden="1">#REF!</definedName>
    <definedName name="BExKPLQJX0HJ8OTXBXH9IC9J2V0W" localSheetId="18" hidden="1">#REF!</definedName>
    <definedName name="BExKPLQJX0HJ8OTXBXH9IC9J2V0W" hidden="1">#REF!</definedName>
    <definedName name="BExKPN8C7GN36ZJZHLOB74LU6KT0" localSheetId="18" hidden="1">#REF!</definedName>
    <definedName name="BExKPN8C7GN36ZJZHLOB74LU6KT0" hidden="1">#REF!</definedName>
    <definedName name="BExKPUKRNDWTKQ8SV8FLABPPXTJK" localSheetId="18" hidden="1">#REF!</definedName>
    <definedName name="BExKPUKRNDWTKQ8SV8FLABPPXTJK" hidden="1">#REF!</definedName>
    <definedName name="BExKPX9VZ1J5021Q98K60HMPJU58" localSheetId="18" hidden="1">#REF!</definedName>
    <definedName name="BExKPX9VZ1J5021Q98K60HMPJU58" hidden="1">#REF!</definedName>
    <definedName name="BExKQJGAAWNM3NT19E9I0CQDBTU0" localSheetId="18" hidden="1">#REF!</definedName>
    <definedName name="BExKQJGAAWNM3NT19E9I0CQDBTU0" hidden="1">#REF!</definedName>
    <definedName name="BExKQM5GJ1ZN5REKFE7YVBQ0KXWF" localSheetId="18" hidden="1">#REF!</definedName>
    <definedName name="BExKQM5GJ1ZN5REKFE7YVBQ0KXWF" hidden="1">#REF!</definedName>
    <definedName name="BExKQOEA7HV9U5DH9C8JXFD62EKH" localSheetId="18" hidden="1">#REF!</definedName>
    <definedName name="BExKQOEA7HV9U5DH9C8JXFD62EKH" hidden="1">#REF!</definedName>
    <definedName name="BExKQQ71278061G7ZFYGPWOMOMY2" localSheetId="18" hidden="1">#REF!</definedName>
    <definedName name="BExKQQ71278061G7ZFYGPWOMOMY2" hidden="1">#REF!</definedName>
    <definedName name="BExKQR8NYY6S7G0RNG3W5UHF26LU" localSheetId="18" hidden="1">#REF!</definedName>
    <definedName name="BExKQR8NYY6S7G0RNG3W5UHF26LU" hidden="1">#REF!</definedName>
    <definedName name="BExKQRUAOHG635WYE6STI4YHGJPE" localSheetId="18" hidden="1">#REF!</definedName>
    <definedName name="BExKQRUAOHG635WYE6STI4YHGJPE" hidden="1">#REF!</definedName>
    <definedName name="BExKQTXRG3ECU8NT47UR7643LO5G" localSheetId="18" hidden="1">#REF!</definedName>
    <definedName name="BExKQTXRG3ECU8NT47UR7643LO5G" hidden="1">#REF!</definedName>
    <definedName name="BExKQVL7HPOIZ4FHANDFMVOJLEPR" localSheetId="18" hidden="1">#REF!</definedName>
    <definedName name="BExKQVL7HPOIZ4FHANDFMVOJLEPR" hidden="1">#REF!</definedName>
    <definedName name="BExKR1VS7ERDDF8HXB3WTPYEUCIU" localSheetId="18" hidden="1">#REF!</definedName>
    <definedName name="BExKR1VS7ERDDF8HXB3WTPYEUCIU" hidden="1">#REF!</definedName>
    <definedName name="BExKR32XG1WY77WDT8KW9FJPGQTU" localSheetId="18" hidden="1">#REF!</definedName>
    <definedName name="BExKR32XG1WY77WDT8KW9FJPGQTU" hidden="1">#REF!</definedName>
    <definedName name="BExKR510GA0MUAKSG4OVIQ26I0BG" localSheetId="18" hidden="1">#REF!</definedName>
    <definedName name="BExKR510GA0MUAKSG4OVIQ26I0BG" hidden="1">#REF!</definedName>
    <definedName name="BExKR8RZSEHW184G0Z56B4EGNU72" localSheetId="18" hidden="1">#REF!</definedName>
    <definedName name="BExKR8RZSEHW184G0Z56B4EGNU72" hidden="1">#REF!</definedName>
    <definedName name="BExKRVUSQ6PA7ZYQSTEQL3X7PB9P" localSheetId="18" hidden="1">#REF!</definedName>
    <definedName name="BExKRVUSQ6PA7ZYQSTEQL3X7PB9P" hidden="1">#REF!</definedName>
    <definedName name="BExKRY3KZ7F7RB2KH8HXSQ85IEQO" localSheetId="18" hidden="1">#REF!</definedName>
    <definedName name="BExKRY3KZ7F7RB2KH8HXSQ85IEQO" hidden="1">#REF!</definedName>
    <definedName name="BExKSA37DZTCK6H13HPIKR0ZFVL8" localSheetId="18" hidden="1">#REF!</definedName>
    <definedName name="BExKSA37DZTCK6H13HPIKR0ZFVL8" hidden="1">#REF!</definedName>
    <definedName name="BExKSFMOMSZYDE0WNC94F40S6636" localSheetId="18" hidden="1">#REF!</definedName>
    <definedName name="BExKSFMOMSZYDE0WNC94F40S6636" hidden="1">#REF!</definedName>
    <definedName name="BExKSHQ9K79S8KYUWIV5M5LAHHF1" localSheetId="18" hidden="1">#REF!</definedName>
    <definedName name="BExKSHQ9K79S8KYUWIV5M5LAHHF1" hidden="1">#REF!</definedName>
    <definedName name="BExKSIS3VA1NCEFCZZSIK8B3YIBZ" localSheetId="18" hidden="1">#REF!</definedName>
    <definedName name="BExKSIS3VA1NCEFCZZSIK8B3YIBZ" hidden="1">#REF!</definedName>
    <definedName name="BExKSJTWG9L3FCX8FLK4EMUJMF27" localSheetId="18" hidden="1">#REF!</definedName>
    <definedName name="BExKSJTWG9L3FCX8FLK4EMUJMF27" hidden="1">#REF!</definedName>
    <definedName name="BExKSLH6QVG81B35VZ8FUSPBKTD5" localSheetId="18" hidden="1">#REF!</definedName>
    <definedName name="BExKSLH6QVG81B35VZ8FUSPBKTD5" hidden="1">#REF!</definedName>
    <definedName name="BExKSRX3BUJY78UHYYZJVTVLMZVP" localSheetId="18" hidden="1">#REF!</definedName>
    <definedName name="BExKSRX3BUJY78UHYYZJVTVLMZVP" hidden="1">#REF!</definedName>
    <definedName name="BExKSU0MKNAVZYYPKCYTZDWQX4R8" localSheetId="18" hidden="1">#REF!</definedName>
    <definedName name="BExKSU0MKNAVZYYPKCYTZDWQX4R8" hidden="1">#REF!</definedName>
    <definedName name="BExKSUBFNA2CM15GD0QR99POCR5I" localSheetId="18" hidden="1">#REF!</definedName>
    <definedName name="BExKSUBFNA2CM15GD0QR99POCR5I" hidden="1">#REF!</definedName>
    <definedName name="BExKSV7ROT5B5BVJ3G19JSC85BAD" localSheetId="18" hidden="1">#REF!</definedName>
    <definedName name="BExKSV7ROT5B5BVJ3G19JSC85BAD" hidden="1">#REF!</definedName>
    <definedName name="BExKSX60G1MUS689FXIGYP2F7C62" localSheetId="18" hidden="1">#REF!</definedName>
    <definedName name="BExKSX60G1MUS689FXIGYP2F7C62" hidden="1">#REF!</definedName>
    <definedName name="BExKT2UZ7Y2VWF5NQE18SJRLD2RN" localSheetId="18" hidden="1">#REF!</definedName>
    <definedName name="BExKT2UZ7Y2VWF5NQE18SJRLD2RN" hidden="1">#REF!</definedName>
    <definedName name="BExKT3GJFNGAM09H5F615E36A38C" localSheetId="18" hidden="1">#REF!</definedName>
    <definedName name="BExKT3GJFNGAM09H5F615E36A38C" hidden="1">#REF!</definedName>
    <definedName name="BExKT9AWCJUL6FVVYMI7NGFTAEEG" localSheetId="18" hidden="1">#REF!</definedName>
    <definedName name="BExKT9AWCJUL6FVVYMI7NGFTAEEG" hidden="1">#REF!</definedName>
    <definedName name="BExKTQZGN8GI3XGSEXMPCCA3S19H" localSheetId="18" hidden="1">#REF!</definedName>
    <definedName name="BExKTQZGN8GI3XGSEXMPCCA3S19H" hidden="1">#REF!</definedName>
    <definedName name="BExKTSBXGP8YGSN5UO0FUHVXT92J" localSheetId="18" hidden="1">#REF!</definedName>
    <definedName name="BExKTSBXGP8YGSN5UO0FUHVXT92J" hidden="1">#REF!</definedName>
    <definedName name="BExKTUKYYU0F6TUW1RXV24LRAZFE" localSheetId="18" hidden="1">#REF!</definedName>
    <definedName name="BExKTUKYYU0F6TUW1RXV24LRAZFE" hidden="1">#REF!</definedName>
    <definedName name="BExKU3FBLHQBIUTN6XEZW5GC9OG1" localSheetId="18" hidden="1">#REF!</definedName>
    <definedName name="BExKU3FBLHQBIUTN6XEZW5GC9OG1" hidden="1">#REF!</definedName>
    <definedName name="BExKU3KMPVWH483Q5TP8K2H0S2L4" localSheetId="18" hidden="1">#REF!</definedName>
    <definedName name="BExKU3KMPVWH483Q5TP8K2H0S2L4" hidden="1">#REF!</definedName>
    <definedName name="BExKU82I99FEUIZLODXJDOJC96CQ" localSheetId="18" hidden="1">#REF!</definedName>
    <definedName name="BExKU82I99FEUIZLODXJDOJC96CQ" hidden="1">#REF!</definedName>
    <definedName name="BExKU9EXMNZKVJV6GSO4XEI3YCWM" localSheetId="18" hidden="1">#REF!</definedName>
    <definedName name="BExKU9EXMNZKVJV6GSO4XEI3YCWM" hidden="1">#REF!</definedName>
    <definedName name="BExKUDM0DFSCM3D91SH0XLXJSL18" localSheetId="18" hidden="1">#REF!</definedName>
    <definedName name="BExKUDM0DFSCM3D91SH0XLXJSL18" hidden="1">#REF!</definedName>
    <definedName name="BExKUGGKEOHX3EEPQ7NGSZWZ8UPA" localSheetId="18" hidden="1">#REF!</definedName>
    <definedName name="BExKUGGKEOHX3EEPQ7NGSZWZ8UPA" hidden="1">#REF!</definedName>
    <definedName name="BExKULEKJLA77AUQPDUHSM94Y76Z" localSheetId="18" hidden="1">#REF!</definedName>
    <definedName name="BExKULEKJLA77AUQPDUHSM94Y76Z" hidden="1">#REF!</definedName>
    <definedName name="BExKUPAT7VWF9ZS0PSYAV71U4N72" localSheetId="18" hidden="1">'[38]10.08.5 - 2008 Capital - TDBU'!#REF!</definedName>
    <definedName name="BExKUPAT7VWF9ZS0PSYAV71U4N72" hidden="1">'[38]10.08.5 - 2008 Capital - TDBU'!#REF!</definedName>
    <definedName name="BExKV08R85MKI3MAX9E2HERNQUNL" localSheetId="18" hidden="1">#REF!</definedName>
    <definedName name="BExKV08R85MKI3MAX9E2HERNQUNL" hidden="1">#REF!</definedName>
    <definedName name="BExKV334XOSQSXAYPE1ZFCWHR4J8" localSheetId="18" hidden="1">#REF!</definedName>
    <definedName name="BExKV334XOSQSXAYPE1ZFCWHR4J8" hidden="1">#REF!</definedName>
    <definedName name="BExKV4AAUNNJL5JWD7PX6BFKVS6O" localSheetId="18" hidden="1">#REF!</definedName>
    <definedName name="BExKV4AAUNNJL5JWD7PX6BFKVS6O" hidden="1">#REF!</definedName>
    <definedName name="BExKV6J9WVQH09L0UOV4PHTLKXRK" localSheetId="18" hidden="1">#REF!</definedName>
    <definedName name="BExKV6J9WVQH09L0UOV4PHTLKXRK" hidden="1">#REF!</definedName>
    <definedName name="BExKVDVK6HN74GQPTXICP9BFC8CF" localSheetId="18" hidden="1">#REF!</definedName>
    <definedName name="BExKVDVK6HN74GQPTXICP9BFC8CF" hidden="1">#REF!</definedName>
    <definedName name="BExKVFZ3ZZGIC1QI8XN6BYFWN0ZY" localSheetId="18" hidden="1">#REF!</definedName>
    <definedName name="BExKVFZ3ZZGIC1QI8XN6BYFWN0ZY" hidden="1">#REF!</definedName>
    <definedName name="BExKVG4KGO28KPGTAFL1R8TTZ10N" localSheetId="18" hidden="1">#REF!</definedName>
    <definedName name="BExKVG4KGO28KPGTAFL1R8TTZ10N" hidden="1">#REF!</definedName>
    <definedName name="BExKVQRICZRKMKC3XFBPYJM79KT1" localSheetId="18" hidden="1">#REF!</definedName>
    <definedName name="BExKVQRICZRKMKC3XFBPYJM79KT1" hidden="1">#REF!</definedName>
    <definedName name="BExKW0CSH7DA02YSNV64PSEIXB2P" localSheetId="18" hidden="1">#REF!</definedName>
    <definedName name="BExKW0CSH7DA02YSNV64PSEIXB2P" hidden="1">#REF!</definedName>
    <definedName name="BExKW61SUXF65SCFWSZUR9GUOOMH" localSheetId="18" hidden="1">#REF!</definedName>
    <definedName name="BExKW61SUXF65SCFWSZUR9GUOOMH" hidden="1">#REF!</definedName>
    <definedName name="BExM9NUG3Q31X01AI9ZJCZIX25CS" localSheetId="18" hidden="1">#REF!</definedName>
    <definedName name="BExM9NUG3Q31X01AI9ZJCZIX25CS" hidden="1">#REF!</definedName>
    <definedName name="BExM9OG182RP30MY23PG49LVPZ1C" localSheetId="18" hidden="1">#REF!</definedName>
    <definedName name="BExM9OG182RP30MY23PG49LVPZ1C" hidden="1">#REF!</definedName>
    <definedName name="BExMA64MW1S18NH8DCKPCCEI5KCB" localSheetId="18" hidden="1">#REF!</definedName>
    <definedName name="BExMA64MW1S18NH8DCKPCCEI5KCB" hidden="1">#REF!</definedName>
    <definedName name="BExMAAMGWSV264QND3PEEFNT51OK" localSheetId="18" hidden="1">#REF!</definedName>
    <definedName name="BExMAAMGWSV264QND3PEEFNT51OK" hidden="1">#REF!</definedName>
    <definedName name="BExMAC4FBX1U0Y3998JERGS9KL2T" localSheetId="18" hidden="1">#REF!</definedName>
    <definedName name="BExMAC4FBX1U0Y3998JERGS9KL2T" hidden="1">#REF!</definedName>
    <definedName name="BExMAIF09XQ94J83IAH3DFXTENQV" localSheetId="18" hidden="1">#REF!</definedName>
    <definedName name="BExMAIF09XQ94J83IAH3DFXTENQV" hidden="1">#REF!</definedName>
    <definedName name="BExMALEWFUEM8Y686IT03ECURUBR" localSheetId="18" hidden="1">#REF!</definedName>
    <definedName name="BExMALEWFUEM8Y686IT03ECURUBR" hidden="1">#REF!</definedName>
    <definedName name="BExMAR3XSK6RSFLHP7ZX1EWGHASI" localSheetId="18" hidden="1">#REF!</definedName>
    <definedName name="BExMAR3XSK6RSFLHP7ZX1EWGHASI" hidden="1">#REF!</definedName>
    <definedName name="BExMAXJS82ZJ8RS22VLE0V0LDUII" localSheetId="18" hidden="1">#REF!</definedName>
    <definedName name="BExMAXJS82ZJ8RS22VLE0V0LDUII" hidden="1">#REF!</definedName>
    <definedName name="BExMB4QRS0R3MTB4CMUHFZ84LNZQ" localSheetId="18" hidden="1">#REF!</definedName>
    <definedName name="BExMB4QRS0R3MTB4CMUHFZ84LNZQ" hidden="1">#REF!</definedName>
    <definedName name="BExMBC35WKQY5CWQJLV4D05O6971" localSheetId="18" hidden="1">#REF!</definedName>
    <definedName name="BExMBC35WKQY5CWQJLV4D05O6971" hidden="1">#REF!</definedName>
    <definedName name="BExMBFTZV4Q1A5KG25C1N9PHQNSW" localSheetId="18" hidden="1">#REF!</definedName>
    <definedName name="BExMBFTZV4Q1A5KG25C1N9PHQNSW" hidden="1">#REF!</definedName>
    <definedName name="BExMBK6ISK3U7KHZKUJXIDKGF6VW" localSheetId="18" hidden="1">#REF!</definedName>
    <definedName name="BExMBK6ISK3U7KHZKUJXIDKGF6VW" hidden="1">#REF!</definedName>
    <definedName name="BExMBMVGO0XJ71IWHILW9QA74NPG" localSheetId="18" hidden="1">#REF!</definedName>
    <definedName name="BExMBMVGO0XJ71IWHILW9QA74NPG" hidden="1">#REF!</definedName>
    <definedName name="BExMBYPQDG9AYDQ5E8IECVFREPO6" localSheetId="18" hidden="1">[39]Table!#REF!</definedName>
    <definedName name="BExMBYPQDG9AYDQ5E8IECVFREPO6" hidden="1">[39]Table!#REF!</definedName>
    <definedName name="BExMBZ5YTPW7PFDUD2A9VUJ4HTNH" localSheetId="18" hidden="1">#REF!</definedName>
    <definedName name="BExMBZ5YTPW7PFDUD2A9VUJ4HTNH" hidden="1">#REF!</definedName>
    <definedName name="BExMBZM2XYYERB8X75SWZCZRQTT3" localSheetId="18" hidden="1">#REF!</definedName>
    <definedName name="BExMBZM2XYYERB8X75SWZCZRQTT3" hidden="1">#REF!</definedName>
    <definedName name="BExMC8AZUTX8LG89K2JJR7ZG62XX" localSheetId="18" hidden="1">#REF!</definedName>
    <definedName name="BExMC8AZUTX8LG89K2JJR7ZG62XX" hidden="1">#REF!</definedName>
    <definedName name="BExMCA96YR10V72G2R0SCIKPZLIZ" localSheetId="18" hidden="1">#REF!</definedName>
    <definedName name="BExMCA96YR10V72G2R0SCIKPZLIZ" hidden="1">#REF!</definedName>
    <definedName name="BExMCB5JU5I2VQDUBS4O42BTEVKI" localSheetId="18" hidden="1">#REF!</definedName>
    <definedName name="BExMCB5JU5I2VQDUBS4O42BTEVKI" hidden="1">#REF!</definedName>
    <definedName name="BExMCFSQFSEMPY5IXDIRKZDASDBR" localSheetId="18" hidden="1">#REF!</definedName>
    <definedName name="BExMCFSQFSEMPY5IXDIRKZDASDBR" hidden="1">#REF!</definedName>
    <definedName name="BExMCGUFAIU47IPVOIVWOZPLSX79" localSheetId="18" hidden="1">#REF!</definedName>
    <definedName name="BExMCGUFAIU47IPVOIVWOZPLSX79" hidden="1">#REF!</definedName>
    <definedName name="BExMCMZOEYWVOOJ98TBHTTCS7XB8" localSheetId="18" hidden="1">#REF!</definedName>
    <definedName name="BExMCMZOEYWVOOJ98TBHTTCS7XB8" hidden="1">#REF!</definedName>
    <definedName name="BExMCQQH8CGFPPPG70D6VV4J3XR6" localSheetId="18" hidden="1">#REF!</definedName>
    <definedName name="BExMCQQH8CGFPPPG70D6VV4J3XR6" hidden="1">#REF!</definedName>
    <definedName name="BExMCS8EF2W3FS9QADNKREYSI8P0" localSheetId="18" hidden="1">#REF!</definedName>
    <definedName name="BExMCS8EF2W3FS9QADNKREYSI8P0" hidden="1">#REF!</definedName>
    <definedName name="BExMCUS7GSOM96J0HJ7EH0FFM2AC" localSheetId="18" hidden="1">#REF!</definedName>
    <definedName name="BExMCUS7GSOM96J0HJ7EH0FFM2AC" hidden="1">#REF!</definedName>
    <definedName name="BExMCYTT6TVDWMJXO1NZANRTVNAN" localSheetId="18" hidden="1">#REF!</definedName>
    <definedName name="BExMCYTT6TVDWMJXO1NZANRTVNAN" hidden="1">#REF!</definedName>
    <definedName name="BExMD5F6IAV108XYJLXUO9HD0IT6" localSheetId="18" hidden="1">#REF!</definedName>
    <definedName name="BExMD5F6IAV108XYJLXUO9HD0IT6" hidden="1">#REF!</definedName>
    <definedName name="BExMDANV66W9T3XAXID40XFJ0J93" localSheetId="18" hidden="1">#REF!</definedName>
    <definedName name="BExMDANV66W9T3XAXID40XFJ0J93" hidden="1">#REF!</definedName>
    <definedName name="BExMDGD1KQP7NNR78X2ZX4FCBQ1S" localSheetId="18" hidden="1">#REF!</definedName>
    <definedName name="BExMDGD1KQP7NNR78X2ZX4FCBQ1S" hidden="1">#REF!</definedName>
    <definedName name="BExMDIRDK0DI8P86HB7WPH8QWLSQ" localSheetId="18" hidden="1">#REF!</definedName>
    <definedName name="BExMDIRDK0DI8P86HB7WPH8QWLSQ" hidden="1">#REF!</definedName>
    <definedName name="BExMDPI2FVMORSWDDCVAJ85WYAYO" localSheetId="18" hidden="1">#REF!</definedName>
    <definedName name="BExMDPI2FVMORSWDDCVAJ85WYAYO" hidden="1">#REF!</definedName>
    <definedName name="BExMDUWB7VWHFFR266QXO46BNV2S" localSheetId="18" hidden="1">#REF!</definedName>
    <definedName name="BExMDUWB7VWHFFR266QXO46BNV2S" hidden="1">#REF!</definedName>
    <definedName name="BExME2U47N8LZG0BPJ49ANY5QVV2" localSheetId="18" hidden="1">#REF!</definedName>
    <definedName name="BExME2U47N8LZG0BPJ49ANY5QVV2" hidden="1">#REF!</definedName>
    <definedName name="BExME5OOQT5THEZMTKUDCTJQJ75P" localSheetId="18" hidden="1">#REF!</definedName>
    <definedName name="BExME5OOQT5THEZMTKUDCTJQJ75P" hidden="1">#REF!</definedName>
    <definedName name="BExME88DH5DUKMUFI9FNVECXFD2E" localSheetId="18" hidden="1">#REF!</definedName>
    <definedName name="BExME88DH5DUKMUFI9FNVECXFD2E" hidden="1">#REF!</definedName>
    <definedName name="BExME9A7MOGAK7YTTQYXP5DL6VYA" localSheetId="18" hidden="1">#REF!</definedName>
    <definedName name="BExME9A7MOGAK7YTTQYXP5DL6VYA" hidden="1">#REF!</definedName>
    <definedName name="BExMEIF7MG94HDIP9UUN2B1R7AP9" localSheetId="18" hidden="1">#REF!</definedName>
    <definedName name="BExMEIF7MG94HDIP9UUN2B1R7AP9" hidden="1">#REF!</definedName>
    <definedName name="BExMEOV9YFRY5C3GDLU60GIX10BY" localSheetId="18" hidden="1">#REF!</definedName>
    <definedName name="BExMEOV9YFRY5C3GDLU60GIX10BY" hidden="1">#REF!</definedName>
    <definedName name="BExMEQ7OI6NAP3UP3UX0O5JKS0DV" localSheetId="18" hidden="1">#REF!</definedName>
    <definedName name="BExMEQ7OI6NAP3UP3UX0O5JKS0DV" hidden="1">#REF!</definedName>
    <definedName name="BExMEY09ESM4H2YGKEQQRYUD114R" localSheetId="18" hidden="1">#REF!</definedName>
    <definedName name="BExMEY09ESM4H2YGKEQQRYUD114R" hidden="1">#REF!</definedName>
    <definedName name="BExMF4G4IUPQY1Y5GEY5N3E04CL6" localSheetId="18" hidden="1">#REF!</definedName>
    <definedName name="BExMF4G4IUPQY1Y5GEY5N3E04CL6" hidden="1">#REF!</definedName>
    <definedName name="BExMF5I0YYHYSHHGNQEI50YPTUFU" localSheetId="18" hidden="1">#REF!</definedName>
    <definedName name="BExMF5I0YYHYSHHGNQEI50YPTUFU" hidden="1">#REF!</definedName>
    <definedName name="BExMF9UIGYMOAQK0ELUWP0S0HZZY" localSheetId="18" hidden="1">#REF!</definedName>
    <definedName name="BExMF9UIGYMOAQK0ELUWP0S0HZZY" hidden="1">#REF!</definedName>
    <definedName name="BExMFDLBSWFMRDYJ2DZETI3EXKN2" localSheetId="18" hidden="1">#REF!</definedName>
    <definedName name="BExMFDLBSWFMRDYJ2DZETI3EXKN2" hidden="1">#REF!</definedName>
    <definedName name="BExMFLDTMRTCHKA37LQW67BG8D5C" localSheetId="18" hidden="1">#REF!</definedName>
    <definedName name="BExMFLDTMRTCHKA37LQW67BG8D5C" hidden="1">#REF!</definedName>
    <definedName name="BExMFYPXA6CPPQEIQCZVJ1O8CC3D" localSheetId="18" hidden="1">#REF!</definedName>
    <definedName name="BExMFYPXA6CPPQEIQCZVJ1O8CC3D" hidden="1">#REF!</definedName>
    <definedName name="BExMG3IJ4BTO1ISLMJY91RJVU21M" localSheetId="18" hidden="1">#REF!</definedName>
    <definedName name="BExMG3IJ4BTO1ISLMJY91RJVU21M" hidden="1">#REF!</definedName>
    <definedName name="BExMG9NSK30KD01QX0UBN2VNRTG4" localSheetId="18" hidden="1">#REF!</definedName>
    <definedName name="BExMG9NSK30KD01QX0UBN2VNRTG4" hidden="1">#REF!</definedName>
    <definedName name="BExMGD99CUH3CN5F5OWTFJPXIOC5" localSheetId="18" hidden="1">#REF!</definedName>
    <definedName name="BExMGD99CUH3CN5F5OWTFJPXIOC5" hidden="1">#REF!</definedName>
    <definedName name="BExMGG3PFIHPHX7NXB7HDFI3N12L" localSheetId="18" hidden="1">#REF!</definedName>
    <definedName name="BExMGG3PFIHPHX7NXB7HDFI3N12L" hidden="1">#REF!</definedName>
    <definedName name="BExMGGUQP0X7T5PIESJE86819NLZ" localSheetId="18" hidden="1">#REF!</definedName>
    <definedName name="BExMGGUQP0X7T5PIESJE86819NLZ" hidden="1">#REF!</definedName>
    <definedName name="BExMH3H9TW5TJCNU5Z1EWXP3BAEP" localSheetId="18" hidden="1">#REF!</definedName>
    <definedName name="BExMH3H9TW5TJCNU5Z1EWXP3BAEP" hidden="1">#REF!</definedName>
    <definedName name="BExMHOWPB34KPZ76M2KIX2C9R2VB" localSheetId="18" hidden="1">#REF!</definedName>
    <definedName name="BExMHOWPB34KPZ76M2KIX2C9R2VB" hidden="1">#REF!</definedName>
    <definedName name="BExMHSSYC6KVHA3QDTSYPN92TWMI" localSheetId="18" hidden="1">#REF!</definedName>
    <definedName name="BExMHSSYC6KVHA3QDTSYPN92TWMI" hidden="1">#REF!</definedName>
    <definedName name="BExMI0WA793SF41LQ40A28U8OXQY" localSheetId="18" hidden="1">#REF!</definedName>
    <definedName name="BExMI0WA793SF41LQ40A28U8OXQY" hidden="1">#REF!</definedName>
    <definedName name="BExMI3AJ9477KDL4T9DHET4LJJTW" localSheetId="18" hidden="1">#REF!</definedName>
    <definedName name="BExMI3AJ9477KDL4T9DHET4LJJTW" hidden="1">#REF!</definedName>
    <definedName name="BExMI58NHPZ1UTOZCYFOQPS8I7WN" localSheetId="18" hidden="1">#REF!</definedName>
    <definedName name="BExMI58NHPZ1UTOZCYFOQPS8I7WN" hidden="1">#REF!</definedName>
    <definedName name="BExMI6L9KX05GAK523JFKICJMTA5" localSheetId="18" hidden="1">#REF!</definedName>
    <definedName name="BExMI6L9KX05GAK523JFKICJMTA5" hidden="1">#REF!</definedName>
    <definedName name="BExMI6QQ20XHD0NWJUN741B37182" localSheetId="18" hidden="1">#REF!</definedName>
    <definedName name="BExMI6QQ20XHD0NWJUN741B37182" hidden="1">#REF!</definedName>
    <definedName name="BExMI7MYLMINF9AC59CYYVFGQJAY" localSheetId="18" hidden="1">#REF!</definedName>
    <definedName name="BExMI7MYLMINF9AC59CYYVFGQJAY" hidden="1">#REF!</definedName>
    <definedName name="BExMI8JB94SBD9EMNJEK7Y2T6GYU" localSheetId="18" hidden="1">#REF!</definedName>
    <definedName name="BExMI8JB94SBD9EMNJEK7Y2T6GYU" hidden="1">#REF!</definedName>
    <definedName name="BExMI8OS85YTW3KYVE4YD0R7Z6UV" localSheetId="18" hidden="1">#REF!</definedName>
    <definedName name="BExMI8OS85YTW3KYVE4YD0R7Z6UV" hidden="1">#REF!</definedName>
    <definedName name="BExMIBOOZU40JS3F89OMPSRCE9MM" localSheetId="18" hidden="1">#REF!</definedName>
    <definedName name="BExMIBOOZU40JS3F89OMPSRCE9MM" hidden="1">#REF!</definedName>
    <definedName name="BExMIHJ01IVQHPV5ZNO9UPQB64N8" localSheetId="18" hidden="1">#REF!</definedName>
    <definedName name="BExMIHJ01IVQHPV5ZNO9UPQB64N8" hidden="1">#REF!</definedName>
    <definedName name="BExMIIQ5MBWSIHTFWAQADXMZC22Q" localSheetId="18" hidden="1">#REF!</definedName>
    <definedName name="BExMIIQ5MBWSIHTFWAQADXMZC22Q" hidden="1">#REF!</definedName>
    <definedName name="BExMIL4I2GE866I25CR5JBLJWJ6A" localSheetId="18" hidden="1">#REF!</definedName>
    <definedName name="BExMIL4I2GE866I25CR5JBLJWJ6A" hidden="1">#REF!</definedName>
    <definedName name="BExMIRKIPF27SNO82SPFSB3T5U17" localSheetId="18" hidden="1">#REF!</definedName>
    <definedName name="BExMIRKIPF27SNO82SPFSB3T5U17" hidden="1">#REF!</definedName>
    <definedName name="BExMITILFEELDXT62AREXCM0DX4R" localSheetId="18" hidden="1">#REF!</definedName>
    <definedName name="BExMITILFEELDXT62AREXCM0DX4R" hidden="1">#REF!</definedName>
    <definedName name="BExMIV0KC8555D5E42ZGWG15Y0MO" localSheetId="18" hidden="1">#REF!</definedName>
    <definedName name="BExMIV0KC8555D5E42ZGWG15Y0MO" hidden="1">#REF!</definedName>
    <definedName name="BExMIZT6AN7E6YMW2S87CTCN2UXH" localSheetId="18" hidden="1">#REF!</definedName>
    <definedName name="BExMIZT6AN7E6YMW2S87CTCN2UXH" hidden="1">#REF!</definedName>
    <definedName name="BExMJ03XNEEQE05W28YBDN4G56JD" localSheetId="18" hidden="1">#REF!</definedName>
    <definedName name="BExMJ03XNEEQE05W28YBDN4G56JD" hidden="1">#REF!</definedName>
    <definedName name="BExMJ15T9F3475M0896SG60TN0SR" localSheetId="18" hidden="1">#REF!</definedName>
    <definedName name="BExMJ15T9F3475M0896SG60TN0SR" hidden="1">#REF!</definedName>
    <definedName name="BExMJ39CRE4I6SJI19LKWDKX3OQ2" localSheetId="18" hidden="1">#REF!</definedName>
    <definedName name="BExMJ39CRE4I6SJI19LKWDKX3OQ2" hidden="1">#REF!</definedName>
    <definedName name="BExMJC8UI1MMXIJR29O1IWETLHH6" localSheetId="18" hidden="1">#REF!</definedName>
    <definedName name="BExMJC8UI1MMXIJR29O1IWETLHH6" hidden="1">#REF!</definedName>
    <definedName name="BExMJNC8ZFB9DRFOJ961ZAJ8U3A8" localSheetId="18" hidden="1">#REF!</definedName>
    <definedName name="BExMJNC8ZFB9DRFOJ961ZAJ8U3A8" hidden="1">#REF!</definedName>
    <definedName name="BExMJSA6JY35531TSI8ZQP6U7CDE" localSheetId="18" hidden="1">#REF!</definedName>
    <definedName name="BExMJSA6JY35531TSI8ZQP6U7CDE" hidden="1">#REF!</definedName>
    <definedName name="BExMJTBV8A3D31W2IQHP9RDFPPHQ" localSheetId="18" hidden="1">#REF!</definedName>
    <definedName name="BExMJTBV8A3D31W2IQHP9RDFPPHQ" hidden="1">#REF!</definedName>
    <definedName name="BExMK2RTXN4QJWEUNX002XK8VQP8" localSheetId="18" hidden="1">#REF!</definedName>
    <definedName name="BExMK2RTXN4QJWEUNX002XK8VQP8" hidden="1">#REF!</definedName>
    <definedName name="BExMK3YZF17HAMXX3PO2KP6S46ZU" localSheetId="18" hidden="1">#REF!</definedName>
    <definedName name="BExMK3YZF17HAMXX3PO2KP6S46ZU" hidden="1">#REF!</definedName>
    <definedName name="BExMKBGQDUZ8AWXYHA3QVMSDVZ3D" localSheetId="18" hidden="1">#REF!</definedName>
    <definedName name="BExMKBGQDUZ8AWXYHA3QVMSDVZ3D" hidden="1">#REF!</definedName>
    <definedName name="BExMKBM1467553LDFZRRKVSHN374" localSheetId="18" hidden="1">#REF!</definedName>
    <definedName name="BExMKBM1467553LDFZRRKVSHN374" hidden="1">#REF!</definedName>
    <definedName name="BExMKGK5FJUC0AU8MABRGDC5ZM70" localSheetId="18" hidden="1">#REF!</definedName>
    <definedName name="BExMKGK5FJUC0AU8MABRGDC5ZM70" hidden="1">#REF!</definedName>
    <definedName name="BExMKISYVO6POIGSJWIW3PHDYL45" localSheetId="18" hidden="1">#REF!</definedName>
    <definedName name="BExMKISYVO6POIGSJWIW3PHDYL45" hidden="1">#REF!</definedName>
    <definedName name="BExMKSP1VOPPTKX4WEPT3LUKE8WQ" localSheetId="18" hidden="1">#REF!</definedName>
    <definedName name="BExMKSP1VOPPTKX4WEPT3LUKE8WQ" hidden="1">#REF!</definedName>
    <definedName name="BExMKTW7R5SOV4PHAFGHU3W73DYE" localSheetId="18" hidden="1">#REF!</definedName>
    <definedName name="BExMKTW7R5SOV4PHAFGHU3W73DYE" hidden="1">#REF!</definedName>
    <definedName name="BExMKU7051J2W1RQXGZGE62NBRUZ" localSheetId="18" hidden="1">#REF!</definedName>
    <definedName name="BExMKU7051J2W1RQXGZGE62NBRUZ" hidden="1">#REF!</definedName>
    <definedName name="BExMKUN3WPECJR2XRID2R7GZRGNX" localSheetId="18" hidden="1">#REF!</definedName>
    <definedName name="BExMKUN3WPECJR2XRID2R7GZRGNX" hidden="1">#REF!</definedName>
    <definedName name="BExMKZ535P011X4TNV16GCOH4H21" localSheetId="18" hidden="1">#REF!</definedName>
    <definedName name="BExMKZ535P011X4TNV16GCOH4H21" hidden="1">#REF!</definedName>
    <definedName name="BExML2VXA0E0WCJ13O00WFMOW4RI" localSheetId="18" hidden="1">#REF!</definedName>
    <definedName name="BExML2VXA0E0WCJ13O00WFMOW4RI" hidden="1">#REF!</definedName>
    <definedName name="BExML3XQNDIMX55ZCHHXKUV3D6E6" localSheetId="18" hidden="1">#REF!</definedName>
    <definedName name="BExML3XQNDIMX55ZCHHXKUV3D6E6" hidden="1">#REF!</definedName>
    <definedName name="BExML5QGSWHLI18BGY4CGOTD3UWH" localSheetId="18" hidden="1">#REF!</definedName>
    <definedName name="BExML5QGSWHLI18BGY4CGOTD3UWH" hidden="1">#REF!</definedName>
    <definedName name="BExML6MTWMIEAK6NWSBVYN98A7G9" localSheetId="18" hidden="1">#REF!</definedName>
    <definedName name="BExML6MTWMIEAK6NWSBVYN98A7G9" hidden="1">#REF!</definedName>
    <definedName name="BExMLO5Z61RE85X8HHX2G4IU3AZW" localSheetId="18" hidden="1">#REF!</definedName>
    <definedName name="BExMLO5Z61RE85X8HHX2G4IU3AZW" hidden="1">#REF!</definedName>
    <definedName name="BExMLVI7UORSHM9FMO8S2EI0TMTS" localSheetId="18" hidden="1">#REF!</definedName>
    <definedName name="BExMLVI7UORSHM9FMO8S2EI0TMTS" hidden="1">#REF!</definedName>
    <definedName name="BExMM5UCOT2HSSN0ZIPZW55GSOVO" localSheetId="18" hidden="1">#REF!</definedName>
    <definedName name="BExMM5UCOT2HSSN0ZIPZW55GSOVO" hidden="1">#REF!</definedName>
    <definedName name="BExMM8ZRS5RQ8H1H55RVPVTDL5NL" localSheetId="18" hidden="1">#REF!</definedName>
    <definedName name="BExMM8ZRS5RQ8H1H55RVPVTDL5NL" hidden="1">#REF!</definedName>
    <definedName name="BExMMH8EAZB09XXQ5X4LR0P4NHG9" localSheetId="18" hidden="1">#REF!</definedName>
    <definedName name="BExMMH8EAZB09XXQ5X4LR0P4NHG9" hidden="1">#REF!</definedName>
    <definedName name="BExMMIQH5BABNZVCIQ7TBCQ10AY5" localSheetId="18" hidden="1">#REF!</definedName>
    <definedName name="BExMMIQH5BABNZVCIQ7TBCQ10AY5" hidden="1">#REF!</definedName>
    <definedName name="BExMMNIZ2T7M22WECMUQXEF4NJ71" localSheetId="18" hidden="1">#REF!</definedName>
    <definedName name="BExMMNIZ2T7M22WECMUQXEF4NJ71" hidden="1">#REF!</definedName>
    <definedName name="BExMMPMIOU7BURTV0L1K6ACW9X73" localSheetId="18" hidden="1">#REF!</definedName>
    <definedName name="BExMMPMIOU7BURTV0L1K6ACW9X73" hidden="1">#REF!</definedName>
    <definedName name="BExMMQ835AJDHS4B419SS645P67Q" localSheetId="18" hidden="1">#REF!</definedName>
    <definedName name="BExMMQ835AJDHS4B419SS645P67Q" hidden="1">#REF!</definedName>
    <definedName name="BExMMQ844A9KG2DK921WGK4O9YPZ" localSheetId="18" hidden="1">#REF!</definedName>
    <definedName name="BExMMQ844A9KG2DK921WGK4O9YPZ" hidden="1">#REF!</definedName>
    <definedName name="BExMMQIUVPCOBISTEJJYNCCLUCPY" localSheetId="18" hidden="1">#REF!</definedName>
    <definedName name="BExMMQIUVPCOBISTEJJYNCCLUCPY" hidden="1">#REF!</definedName>
    <definedName name="BExMMSH37SF6GV4N9O9EW1APAZ1E" localSheetId="18" hidden="1">#REF!</definedName>
    <definedName name="BExMMSH37SF6GV4N9O9EW1APAZ1E" hidden="1">#REF!</definedName>
    <definedName name="BExMMTIXETA5VAKBSOFDD5SRU887" localSheetId="18" hidden="1">#REF!</definedName>
    <definedName name="BExMMTIXETA5VAKBSOFDD5SRU887" hidden="1">#REF!</definedName>
    <definedName name="BExMMV0P6P5YS3C35G0JYYHI7992" localSheetId="18" hidden="1">#REF!</definedName>
    <definedName name="BExMMV0P6P5YS3C35G0JYYHI7992" hidden="1">#REF!</definedName>
    <definedName name="BExMN1WVXE52MEF2NT3IVTY8KJQM" localSheetId="18" hidden="1">#REF!</definedName>
    <definedName name="BExMN1WVXE52MEF2NT3IVTY8KJQM" hidden="1">#REF!</definedName>
    <definedName name="BExMN2IH1J3S3D19MIV7YYZMS9DV" localSheetId="18" hidden="1">#REF!</definedName>
    <definedName name="BExMN2IH1J3S3D19MIV7YYZMS9DV" hidden="1">#REF!</definedName>
    <definedName name="BExMNAWJNSZ1W6QTQUX8O56Y0NF2" localSheetId="18" hidden="1">'[38]10.08.5 - 2008 Capital - TDBU'!#REF!</definedName>
    <definedName name="BExMNAWJNSZ1W6QTQUX8O56Y0NF2" hidden="1">'[38]10.08.5 - 2008 Capital - TDBU'!#REF!</definedName>
    <definedName name="BExMNDR4V2VG5RFZDGTAGD3Q9PPG" localSheetId="18" hidden="1">#REF!</definedName>
    <definedName name="BExMNDR4V2VG5RFZDGTAGD3Q9PPG" hidden="1">#REF!</definedName>
    <definedName name="BExMNJLFWZBRN9PZF1IO9CYWV1B2" localSheetId="18" hidden="1">#REF!</definedName>
    <definedName name="BExMNJLFWZBRN9PZF1IO9CYWV1B2" hidden="1">#REF!</definedName>
    <definedName name="BExMNKCJ0FA57YEUUAJE43U1QN5P" localSheetId="18" hidden="1">#REF!</definedName>
    <definedName name="BExMNKCJ0FA57YEUUAJE43U1QN5P" hidden="1">#REF!</definedName>
    <definedName name="BExMNKN5D1WEF2OOJVP6LZ6DLU3Y" localSheetId="18" hidden="1">#REF!</definedName>
    <definedName name="BExMNKN5D1WEF2OOJVP6LZ6DLU3Y" hidden="1">#REF!</definedName>
    <definedName name="BExMNR38HMPLWAJRQ9MMS3ZAZ9IU" localSheetId="18" hidden="1">#REF!</definedName>
    <definedName name="BExMNR38HMPLWAJRQ9MMS3ZAZ9IU" hidden="1">#REF!</definedName>
    <definedName name="BExMNRDZULKJMVY2VKIIRM2M5A1M" localSheetId="18" hidden="1">#REF!</definedName>
    <definedName name="BExMNRDZULKJMVY2VKIIRM2M5A1M" hidden="1">#REF!</definedName>
    <definedName name="BExMO9IOWKTWHO8LQJJQI5P3INWY" localSheetId="18" hidden="1">#REF!</definedName>
    <definedName name="BExMO9IOWKTWHO8LQJJQI5P3INWY" hidden="1">#REF!</definedName>
    <definedName name="BExMOI29DOEK5R1A5QZPUDKF7N6T" localSheetId="18" hidden="1">#REF!</definedName>
    <definedName name="BExMOI29DOEK5R1A5QZPUDKF7N6T" hidden="1">#REF!</definedName>
    <definedName name="BExMOIYOIL4KOXZBI7MJYXPIV1QJ" localSheetId="18" hidden="1">#REF!</definedName>
    <definedName name="BExMOIYOIL4KOXZBI7MJYXPIV1QJ" hidden="1">#REF!</definedName>
    <definedName name="BExMORI2ZA9JU0J28GT1ZAXP5A9C" localSheetId="18" hidden="1">#REF!</definedName>
    <definedName name="BExMORI2ZA9JU0J28GT1ZAXP5A9C" hidden="1">#REF!</definedName>
    <definedName name="BExMPAJ5AJAXGKGK3F6H3ODS6RF4" localSheetId="18" hidden="1">#REF!</definedName>
    <definedName name="BExMPAJ5AJAXGKGK3F6H3ODS6RF4" hidden="1">#REF!</definedName>
    <definedName name="BExMPD2X55FFBVJ6CBUKNPROIOEU" localSheetId="18" hidden="1">#REF!</definedName>
    <definedName name="BExMPD2X55FFBVJ6CBUKNPROIOEU" hidden="1">#REF!</definedName>
    <definedName name="BExMPGZ848E38FUH1JBQN97DGWAT" localSheetId="18" hidden="1">#REF!</definedName>
    <definedName name="BExMPGZ848E38FUH1JBQN97DGWAT" hidden="1">#REF!</definedName>
    <definedName name="BExMPMTICOSMQENOFKQ18K0ZT4S8" localSheetId="18" hidden="1">#REF!</definedName>
    <definedName name="BExMPMTICOSMQENOFKQ18K0ZT4S8" hidden="1">#REF!</definedName>
    <definedName name="BExMPMZ07II0R4KGWQQ7PGS3RZS4" localSheetId="18" hidden="1">#REF!</definedName>
    <definedName name="BExMPMZ07II0R4KGWQQ7PGS3RZS4" hidden="1">#REF!</definedName>
    <definedName name="BExMPOBH04JMDO6Z8DMSEJZM4ANN" localSheetId="18" hidden="1">#REF!</definedName>
    <definedName name="BExMPOBH04JMDO6Z8DMSEJZM4ANN" hidden="1">#REF!</definedName>
    <definedName name="BExMPSD77XQ3HA6A4FZOJK8G2JP3" localSheetId="18" hidden="1">#REF!</definedName>
    <definedName name="BExMPSD77XQ3HA6A4FZOJK8G2JP3" hidden="1">#REF!</definedName>
    <definedName name="BExMPT9KA5ZL7QPEO8EJSGDXUSF6" localSheetId="18" hidden="1">#REF!</definedName>
    <definedName name="BExMPT9KA5ZL7QPEO8EJSGDXUSF6" hidden="1">#REF!</definedName>
    <definedName name="BExMQ4I3Q7F0BMPHSFMFW9TZ87UD" localSheetId="18" hidden="1">#REF!</definedName>
    <definedName name="BExMQ4I3Q7F0BMPHSFMFW9TZ87UD" hidden="1">#REF!</definedName>
    <definedName name="BExMQ4SWDWI4N16AZ0T5CJ6HH8WC" localSheetId="18" hidden="1">#REF!</definedName>
    <definedName name="BExMQ4SWDWI4N16AZ0T5CJ6HH8WC" hidden="1">#REF!</definedName>
    <definedName name="BExMQ71WHW50GVX45JU951AGPLFQ" localSheetId="18" hidden="1">#REF!</definedName>
    <definedName name="BExMQ71WHW50GVX45JU951AGPLFQ" hidden="1">#REF!</definedName>
    <definedName name="BExMQGXSLPT4A6N47LE6FBVHWBOF" localSheetId="18" hidden="1">#REF!</definedName>
    <definedName name="BExMQGXSLPT4A6N47LE6FBVHWBOF" hidden="1">#REF!</definedName>
    <definedName name="BExMQSBR7PL4KLB1Q4961QO45Y4G" localSheetId="18" hidden="1">#REF!</definedName>
    <definedName name="BExMQSBR7PL4KLB1Q4961QO45Y4G" hidden="1">#REF!</definedName>
    <definedName name="BExMR1MA4I1X77714ZEPUVC8W398" localSheetId="18" hidden="1">#REF!</definedName>
    <definedName name="BExMR1MA4I1X77714ZEPUVC8W398" hidden="1">#REF!</definedName>
    <definedName name="BExMR8YQHA7N77HGHY4Y6R30I3XT" localSheetId="18" hidden="1">#REF!</definedName>
    <definedName name="BExMR8YQHA7N77HGHY4Y6R30I3XT" hidden="1">#REF!</definedName>
    <definedName name="BExMRENOIARWRYOIVPDIEBVNRDO7" localSheetId="18" hidden="1">#REF!</definedName>
    <definedName name="BExMRENOIARWRYOIVPDIEBVNRDO7" hidden="1">#REF!</definedName>
    <definedName name="BExMRQHUEHGF2FS4LCB0THFELGDI" localSheetId="18" hidden="1">#REF!</definedName>
    <definedName name="BExMRQHUEHGF2FS4LCB0THFELGDI" hidden="1">#REF!</definedName>
    <definedName name="BExMRRJNUMGRSDD5GGKKGEIZ6FTS" localSheetId="18" hidden="1">#REF!</definedName>
    <definedName name="BExMRRJNUMGRSDD5GGKKGEIZ6FTS" hidden="1">#REF!</definedName>
    <definedName name="BExMRU3ACIU0RD2BNWO55LH5U2BR" localSheetId="18" hidden="1">#REF!</definedName>
    <definedName name="BExMRU3ACIU0RD2BNWO55LH5U2BR" hidden="1">#REF!</definedName>
    <definedName name="BExMS86DS3IHF2GL3USMAG2JZHWC" localSheetId="18" hidden="1">#REF!</definedName>
    <definedName name="BExMS86DS3IHF2GL3USMAG2JZHWC" hidden="1">#REF!</definedName>
    <definedName name="BExMSCO8TZ680ZEYN2WP0KB738IZ" localSheetId="18" hidden="1">#REF!</definedName>
    <definedName name="BExMSCO8TZ680ZEYN2WP0KB738IZ" hidden="1">#REF!</definedName>
    <definedName name="BExMSQRCC40AP8BDUPL2I2DNC210" localSheetId="18" hidden="1">#REF!</definedName>
    <definedName name="BExMSQRCC40AP8BDUPL2I2DNC210" hidden="1">#REF!</definedName>
    <definedName name="BExO4J9LR712G00TVA82VNTG8O7H" localSheetId="18" hidden="1">#REF!</definedName>
    <definedName name="BExO4J9LR712G00TVA82VNTG8O7H" hidden="1">#REF!</definedName>
    <definedName name="BExO4WGD4T7PXNGQYFD65V3BP906" localSheetId="18" hidden="1">'[38]10.08.5 - 2008 Capital - TDBU'!#REF!</definedName>
    <definedName name="BExO4WGD4T7PXNGQYFD65V3BP906" hidden="1">'[38]10.08.5 - 2008 Capital - TDBU'!#REF!</definedName>
    <definedName name="BExO55G2KVZ7MIJ30N827CLH0I2A" localSheetId="18" hidden="1">#REF!</definedName>
    <definedName name="BExO55G2KVZ7MIJ30N827CLH0I2A" hidden="1">#REF!</definedName>
    <definedName name="BExO5A8PZD9EUHC5CMPU6N3SQ15L" localSheetId="18" hidden="1">#REF!</definedName>
    <definedName name="BExO5A8PZD9EUHC5CMPU6N3SQ15L" hidden="1">#REF!</definedName>
    <definedName name="BExO5XMAHL7CY3X0B1OPKZ28DCJ5" localSheetId="18" hidden="1">#REF!</definedName>
    <definedName name="BExO5XMAHL7CY3X0B1OPKZ28DCJ5" hidden="1">#REF!</definedName>
    <definedName name="BExO64NREBN75DKW0OMYAUWYVY5S" localSheetId="18" hidden="1">#REF!</definedName>
    <definedName name="BExO64NREBN75DKW0OMYAUWYVY5S" hidden="1">#REF!</definedName>
    <definedName name="BExO66LZJKY4PTQVREELI6POS4AY" localSheetId="18" hidden="1">#REF!</definedName>
    <definedName name="BExO66LZJKY4PTQVREELI6POS4AY" hidden="1">#REF!</definedName>
    <definedName name="BExO6LLHCYTF7CIVHKAO0NMET14Q" localSheetId="18" hidden="1">#REF!</definedName>
    <definedName name="BExO6LLHCYTF7CIVHKAO0NMET14Q" hidden="1">#REF!</definedName>
    <definedName name="BExO6QE36OX39618EFGY819YKS0N" localSheetId="18" hidden="1">#REF!</definedName>
    <definedName name="BExO6QE36OX39618EFGY819YKS0N" hidden="1">#REF!</definedName>
    <definedName name="BExO6Y6LB0P6L4JTH4J6TCB4OHW8" localSheetId="18" hidden="1">#REF!</definedName>
    <definedName name="BExO6Y6LB0P6L4JTH4J6TCB4OHW8" hidden="1">#REF!</definedName>
    <definedName name="BExO7OUQS3XTUQ2LDKGQ8AAQ3OJJ" localSheetId="18" hidden="1">#REF!</definedName>
    <definedName name="BExO7OUQS3XTUQ2LDKGQ8AAQ3OJJ" hidden="1">#REF!</definedName>
    <definedName name="BExO7RUSODZC2NQZMT2AFSMV2ONF" localSheetId="18" hidden="1">#REF!</definedName>
    <definedName name="BExO7RUSODZC2NQZMT2AFSMV2ONF" hidden="1">#REF!</definedName>
    <definedName name="BExO7VLLWHHV7J25Z3RPF2PK6D8H" localSheetId="18" hidden="1">#REF!</definedName>
    <definedName name="BExO7VLLWHHV7J25Z3RPF2PK6D8H" hidden="1">#REF!</definedName>
    <definedName name="BExO7WNA0JRE553ALPEZODW1ICID" localSheetId="18" hidden="1">#REF!</definedName>
    <definedName name="BExO7WNA0JRE553ALPEZODW1ICID" hidden="1">#REF!</definedName>
    <definedName name="BExO85HMYXZJ7SONWBKKIAXMCI3C" localSheetId="18" hidden="1">#REF!</definedName>
    <definedName name="BExO85HMYXZJ7SONWBKKIAXMCI3C" hidden="1">#REF!</definedName>
    <definedName name="BExO863922O4PBGQMUNEQKGN3K96" localSheetId="18" hidden="1">#REF!</definedName>
    <definedName name="BExO863922O4PBGQMUNEQKGN3K96" hidden="1">#REF!</definedName>
    <definedName name="BExO89ZIOXN0HOKHY24F7HDZ87UT" localSheetId="18" hidden="1">#REF!</definedName>
    <definedName name="BExO89ZIOXN0HOKHY24F7HDZ87UT" hidden="1">#REF!</definedName>
    <definedName name="BExO8BXK76C9VFPKRARWMK6YTJ6O" localSheetId="18" hidden="1">#REF!</definedName>
    <definedName name="BExO8BXK76C9VFPKRARWMK6YTJ6O" hidden="1">#REF!</definedName>
    <definedName name="BExO8CDTBCABLEUD6PE2UM2EZ6C4" localSheetId="18" hidden="1">#REF!</definedName>
    <definedName name="BExO8CDTBCABLEUD6PE2UM2EZ6C4" hidden="1">#REF!</definedName>
    <definedName name="BExO8I85NBW303RBA7RZM8Q42KKU" localSheetId="18" hidden="1">#REF!</definedName>
    <definedName name="BExO8I85NBW303RBA7RZM8Q42KKU" hidden="1">#REF!</definedName>
    <definedName name="BExO8IZ05ZG0XVOL3W41KBQE176A" localSheetId="18" hidden="1">#REF!</definedName>
    <definedName name="BExO8IZ05ZG0XVOL3W41KBQE176A" hidden="1">#REF!</definedName>
    <definedName name="BExO8SK9JB6X989C2E50VDFI9589" localSheetId="18" hidden="1">#REF!</definedName>
    <definedName name="BExO8SK9JB6X989C2E50VDFI9589" hidden="1">#REF!</definedName>
    <definedName name="BExO8SPR4QWYLQRJDDPI2HTYU64C" localSheetId="18" hidden="1">#REF!</definedName>
    <definedName name="BExO8SPR4QWYLQRJDDPI2HTYU64C" hidden="1">#REF!</definedName>
    <definedName name="BExO8UTAGQWDBQZEEF4HUNMLQCVU" localSheetId="18" hidden="1">#REF!</definedName>
    <definedName name="BExO8UTAGQWDBQZEEF4HUNMLQCVU" hidden="1">#REF!</definedName>
    <definedName name="BExO8ZWPPH977G7OJO9G8JR25ZG1" localSheetId="18" hidden="1">#REF!</definedName>
    <definedName name="BExO8ZWPPH977G7OJO9G8JR25ZG1" hidden="1">#REF!</definedName>
    <definedName name="BExO937E20IHMGQOZMECL3VZC7OX" localSheetId="18" hidden="1">#REF!</definedName>
    <definedName name="BExO937E20IHMGQOZMECL3VZC7OX" hidden="1">#REF!</definedName>
    <definedName name="BExO94UTJKQQ7TJTTJRTSR70YVJC" localSheetId="18" hidden="1">#REF!</definedName>
    <definedName name="BExO94UTJKQQ7TJTTJRTSR70YVJC" hidden="1">#REF!</definedName>
    <definedName name="BExO9AZXF5CN7MTM11IM5SV2RXHY" localSheetId="18" hidden="1">#REF!</definedName>
    <definedName name="BExO9AZXF5CN7MTM11IM5SV2RXHY" hidden="1">#REF!</definedName>
    <definedName name="BExO9J3A438976RXIUX5U9SU5T55" localSheetId="18" hidden="1">#REF!</definedName>
    <definedName name="BExO9J3A438976RXIUX5U9SU5T55" hidden="1">#REF!</definedName>
    <definedName name="BExO9RS5RXFJ1911HL3CCK6M74EP" localSheetId="18" hidden="1">#REF!</definedName>
    <definedName name="BExO9RS5RXFJ1911HL3CCK6M74EP" hidden="1">#REF!</definedName>
    <definedName name="BExO9SDRI1M6KMHXSG3AE5L0F2U3" localSheetId="18" hidden="1">#REF!</definedName>
    <definedName name="BExO9SDRI1M6KMHXSG3AE5L0F2U3" hidden="1">#REF!</definedName>
    <definedName name="BExO9V2U2YXAY904GYYGU6TD8Y7M" localSheetId="18" hidden="1">#REF!</definedName>
    <definedName name="BExO9V2U2YXAY904GYYGU6TD8Y7M" hidden="1">#REF!</definedName>
    <definedName name="BExOAQ3GKCT7YZW1EMVU3EILSZL2" localSheetId="18" hidden="1">#REF!</definedName>
    <definedName name="BExOAQ3GKCT7YZW1EMVU3EILSZL2" hidden="1">#REF!</definedName>
    <definedName name="BExOAULC4L2CQJSFPGMEJUUTI5B1" localSheetId="18" hidden="1">#REF!</definedName>
    <definedName name="BExOAULC4L2CQJSFPGMEJUUTI5B1" hidden="1">#REF!</definedName>
    <definedName name="BExOAZU2Y521ZUPN4R2HWBIUQKKR" localSheetId="18" hidden="1">#REF!</definedName>
    <definedName name="BExOAZU2Y521ZUPN4R2HWBIUQKKR" hidden="1">#REF!</definedName>
    <definedName name="BExOB9KT2THGV4SPLDVFTFXS4B14" localSheetId="18" hidden="1">#REF!</definedName>
    <definedName name="BExOB9KT2THGV4SPLDVFTFXS4B14" hidden="1">#REF!</definedName>
    <definedName name="BExOBEZ0IE2WBEYY3D3CMRI72N1K" localSheetId="18" hidden="1">#REF!</definedName>
    <definedName name="BExOBEZ0IE2WBEYY3D3CMRI72N1K" hidden="1">#REF!</definedName>
    <definedName name="BExOBIPU8760ITY0C8N27XZ3KWEF" localSheetId="18" hidden="1">#REF!</definedName>
    <definedName name="BExOBIPU8760ITY0C8N27XZ3KWEF" hidden="1">#REF!</definedName>
    <definedName name="BExOBM0I5L0MZ1G4H9MGMD87SBMZ" localSheetId="18" hidden="1">#REF!</definedName>
    <definedName name="BExOBM0I5L0MZ1G4H9MGMD87SBMZ" hidden="1">#REF!</definedName>
    <definedName name="BExOBOUXMP88KJY2BX2JLUJH5N0K" localSheetId="18" hidden="1">#REF!</definedName>
    <definedName name="BExOBOUXMP88KJY2BX2JLUJH5N0K" hidden="1">#REF!</definedName>
    <definedName name="BExOBP0FKQ4SVR59FB48UNLKCOR6" localSheetId="18" hidden="1">#REF!</definedName>
    <definedName name="BExOBP0FKQ4SVR59FB48UNLKCOR6" hidden="1">#REF!</definedName>
    <definedName name="BExOBXURJP8XL4VX0LAH1M4VR4VL" localSheetId="18" hidden="1">#REF!</definedName>
    <definedName name="BExOBXURJP8XL4VX0LAH1M4VR4VL" hidden="1">#REF!</definedName>
    <definedName name="BExOBYAVUCQ0IGM0Y6A75QHP0Q1A" localSheetId="18" hidden="1">#REF!</definedName>
    <definedName name="BExOBYAVUCQ0IGM0Y6A75QHP0Q1A" hidden="1">#REF!</definedName>
    <definedName name="BExOC3UEHB1CZNINSQHZANWJYKR8" localSheetId="18" hidden="1">#REF!</definedName>
    <definedName name="BExOC3UEHB1CZNINSQHZANWJYKR8" hidden="1">#REF!</definedName>
    <definedName name="BExOCBSF3XGO9YJ23LX2H78VOUR7" localSheetId="18" hidden="1">#REF!</definedName>
    <definedName name="BExOCBSF3XGO9YJ23LX2H78VOUR7" hidden="1">#REF!</definedName>
    <definedName name="BExOCHBYK42SX24MJ239H6G9OJ8E" localSheetId="18" hidden="1">#REF!</definedName>
    <definedName name="BExOCHBYK42SX24MJ239H6G9OJ8E" hidden="1">#REF!</definedName>
    <definedName name="BExOCKXFMOW6WPFEVX1I7R7FNDSS" localSheetId="18" hidden="1">#REF!</definedName>
    <definedName name="BExOCKXFMOW6WPFEVX1I7R7FNDSS" hidden="1">#REF!</definedName>
    <definedName name="BExOCYEXOB95DH5NOB0M5NOYX398" localSheetId="18" hidden="1">#REF!</definedName>
    <definedName name="BExOCYEXOB95DH5NOB0M5NOYX398" hidden="1">#REF!</definedName>
    <definedName name="BExOD4ERMDMFD8X1016N4EXOUR0S" localSheetId="18" hidden="1">#REF!</definedName>
    <definedName name="BExOD4ERMDMFD8X1016N4EXOUR0S" hidden="1">#REF!</definedName>
    <definedName name="BExOD55RS7BQUHRQ6H3USVGKR0P7" localSheetId="18" hidden="1">#REF!</definedName>
    <definedName name="BExOD55RS7BQUHRQ6H3USVGKR0P7" hidden="1">#REF!</definedName>
    <definedName name="BExOD7UQ6G3P86ZLZV0GY79H7VLL" localSheetId="18" hidden="1">#REF!</definedName>
    <definedName name="BExOD7UQ6G3P86ZLZV0GY79H7VLL" hidden="1">#REF!</definedName>
    <definedName name="BExODEWDDEABM4ZY3XREJIBZ8IVP" localSheetId="18" hidden="1">#REF!</definedName>
    <definedName name="BExODEWDDEABM4ZY3XREJIBZ8IVP" hidden="1">#REF!</definedName>
    <definedName name="BExODNLAA1L7WQ9ZQX6A1ZOXK9VR" localSheetId="18" hidden="1">#REF!</definedName>
    <definedName name="BExODNLAA1L7WQ9ZQX6A1ZOXK9VR" hidden="1">#REF!</definedName>
    <definedName name="BExODZFEIWV26E8RFU7XQYX1J458" localSheetId="18" hidden="1">#REF!</definedName>
    <definedName name="BExODZFEIWV26E8RFU7XQYX1J458" hidden="1">#REF!</definedName>
    <definedName name="BExOEBKG55EROA2VL360A06LKASE" localSheetId="18" hidden="1">#REF!</definedName>
    <definedName name="BExOEBKG55EROA2VL360A06LKASE" hidden="1">#REF!</definedName>
    <definedName name="BExOED2F7B5GEHKVIWGRV2BCDE2Y" localSheetId="18" hidden="1">#REF!</definedName>
    <definedName name="BExOED2F7B5GEHKVIWGRV2BCDE2Y" hidden="1">#REF!</definedName>
    <definedName name="BExOERG5LWXYYEN1DY1H2FWRJS9T" localSheetId="18" hidden="1">#REF!</definedName>
    <definedName name="BExOERG5LWXYYEN1DY1H2FWRJS9T" hidden="1">#REF!</definedName>
    <definedName name="BExOEV1S6JJVO5PP4BZ20SNGZR7D" localSheetId="18" hidden="1">#REF!</definedName>
    <definedName name="BExOEV1S6JJVO5PP4BZ20SNGZR7D" hidden="1">#REF!</definedName>
    <definedName name="BExOF2U4Y5JYM0GUBGC0U2UH931Y" localSheetId="18" hidden="1">#REF!</definedName>
    <definedName name="BExOF2U4Y5JYM0GUBGC0U2UH931Y" hidden="1">#REF!</definedName>
    <definedName name="BExOF6VWODFNH2HUFTQI5L0UHNQ9" localSheetId="18" hidden="1">'[38]10.08.5 - 2008 Capital - TDBU'!#REF!</definedName>
    <definedName name="BExOF6VWODFNH2HUFTQI5L0UHNQ9" hidden="1">'[38]10.08.5 - 2008 Capital - TDBU'!#REF!</definedName>
    <definedName name="BExOFEDNCYI2TPTMQ8SJN3AW4YMF" localSheetId="18" hidden="1">#REF!</definedName>
    <definedName name="BExOFEDNCYI2TPTMQ8SJN3AW4YMF" hidden="1">#REF!</definedName>
    <definedName name="BExOFGRSPF8UTG0K1OGA8LX12P37" localSheetId="18" hidden="1">#REF!</definedName>
    <definedName name="BExOFGRSPF8UTG0K1OGA8LX12P37" hidden="1">#REF!</definedName>
    <definedName name="BExOFVLXVD6RVHSQO8KZOOACSV24" localSheetId="18" hidden="1">#REF!</definedName>
    <definedName name="BExOFVLXVD6RVHSQO8KZOOACSV24" hidden="1">#REF!</definedName>
    <definedName name="BExOG2SW3XOGP9VAPQ3THV3VWV12" localSheetId="18" hidden="1">#REF!</definedName>
    <definedName name="BExOG2SW3XOGP9VAPQ3THV3VWV12" hidden="1">#REF!</definedName>
    <definedName name="BExOG45J81K4OPA40KW5VQU54KY3" localSheetId="18" hidden="1">#REF!</definedName>
    <definedName name="BExOG45J81K4OPA40KW5VQU54KY3" hidden="1">#REF!</definedName>
    <definedName name="BExOGBXX51PO4FXDL42WFPKYU6Y9" localSheetId="18" hidden="1">#REF!</definedName>
    <definedName name="BExOGBXX51PO4FXDL42WFPKYU6Y9" hidden="1">#REF!</definedName>
    <definedName name="BExOGFE2SCL8HHT4DFAXKLUTJZOG" localSheetId="18" hidden="1">#REF!</definedName>
    <definedName name="BExOGFE2SCL8HHT4DFAXKLUTJZOG" hidden="1">#REF!</definedName>
    <definedName name="BExOGT6D0LJ3C22RDW8COECKB1J5" localSheetId="18" hidden="1">#REF!</definedName>
    <definedName name="BExOGT6D0LJ3C22RDW8COECKB1J5" hidden="1">#REF!</definedName>
    <definedName name="BExOGTMI1HT31M1RGWVRAVHAK7DE" localSheetId="18" hidden="1">#REF!</definedName>
    <definedName name="BExOGTMI1HT31M1RGWVRAVHAK7DE" hidden="1">#REF!</definedName>
    <definedName name="BExOGXO9JE5XSE9GC3I6O21UEKAO" localSheetId="18" hidden="1">#REF!</definedName>
    <definedName name="BExOGXO9JE5XSE9GC3I6O21UEKAO" hidden="1">#REF!</definedName>
    <definedName name="BExOH9ICZ13C1LAW8OTYTR9S7ZP3" localSheetId="18" hidden="1">#REF!</definedName>
    <definedName name="BExOH9ICZ13C1LAW8OTYTR9S7ZP3" hidden="1">#REF!</definedName>
    <definedName name="BExOHCI9MFNF9Y2P8D4LJGJ5B5CB" localSheetId="18" hidden="1">#REF!</definedName>
    <definedName name="BExOHCI9MFNF9Y2P8D4LJGJ5B5CB" hidden="1">#REF!</definedName>
    <definedName name="BExOHL75H3OT4WAKKPUXIVXWFVDS" localSheetId="18" hidden="1">#REF!</definedName>
    <definedName name="BExOHL75H3OT4WAKKPUXIVXWFVDS" hidden="1">#REF!</definedName>
    <definedName name="BExOHLHXXJL6363CC082M9M5VVXQ" localSheetId="18" hidden="1">#REF!</definedName>
    <definedName name="BExOHLHXXJL6363CC082M9M5VVXQ" hidden="1">#REF!</definedName>
    <definedName name="BExOHNAO5UDXSO73BK2ARHWKS90Y" localSheetId="18" hidden="1">#REF!</definedName>
    <definedName name="BExOHNAO5UDXSO73BK2ARHWKS90Y" hidden="1">#REF!</definedName>
    <definedName name="BExOHNLFZGEVXCTJ9CWMJJS7C98A" localSheetId="18" hidden="1">#REF!</definedName>
    <definedName name="BExOHNLFZGEVXCTJ9CWMJJS7C98A" hidden="1">#REF!</definedName>
    <definedName name="BExOHR1G1I9A9CI1HG94EWBLWNM2" localSheetId="18" hidden="1">#REF!</definedName>
    <definedName name="BExOHR1G1I9A9CI1HG94EWBLWNM2" hidden="1">#REF!</definedName>
    <definedName name="BExOHTQPP8LQ98L6PYUI6QW08YID" localSheetId="18" hidden="1">#REF!</definedName>
    <definedName name="BExOHTQPP8LQ98L6PYUI6QW08YID" hidden="1">#REF!</definedName>
    <definedName name="BExOHX6Q6NJI793PGX59O5EKTP4G" localSheetId="18" hidden="1">#REF!</definedName>
    <definedName name="BExOHX6Q6NJI793PGX59O5EKTP4G" hidden="1">#REF!</definedName>
    <definedName name="BExOI5VMTHH7Y8MQQ1N635CHYI0P" localSheetId="18" hidden="1">#REF!</definedName>
    <definedName name="BExOI5VMTHH7Y8MQQ1N635CHYI0P" hidden="1">#REF!</definedName>
    <definedName name="BExOIEVCP4Y6VDS23AK84MCYYHRT" localSheetId="18" hidden="1">#REF!</definedName>
    <definedName name="BExOIEVCP4Y6VDS23AK84MCYYHRT" hidden="1">#REF!</definedName>
    <definedName name="BExOIHPQIXR0NDR5WD01BZKPKEO3" localSheetId="18" hidden="1">#REF!</definedName>
    <definedName name="BExOIHPQIXR0NDR5WD01BZKPKEO3" hidden="1">#REF!</definedName>
    <definedName name="BExOIK437LIDQQW9LPBD4ZIP504X" localSheetId="18" hidden="1">#REF!</definedName>
    <definedName name="BExOIK437LIDQQW9LPBD4ZIP504X" hidden="1">#REF!</definedName>
    <definedName name="BExOIM7L0Z3LSII9P7ZTV4KJ8RMA" localSheetId="18" hidden="1">#REF!</definedName>
    <definedName name="BExOIM7L0Z3LSII9P7ZTV4KJ8RMA" hidden="1">#REF!</definedName>
    <definedName name="BExOIRR9MU1G575D1ZA3HFPLOPHO" localSheetId="18" hidden="1">#REF!</definedName>
    <definedName name="BExOIRR9MU1G575D1ZA3HFPLOPHO" hidden="1">#REF!</definedName>
    <definedName name="BExOIWJVMJ6MG6JC4SPD1L00OHU1" localSheetId="18" hidden="1">#REF!</definedName>
    <definedName name="BExOIWJVMJ6MG6JC4SPD1L00OHU1" hidden="1">#REF!</definedName>
    <definedName name="BExOIYCN8Z4JK3OOG86KYUCV0ME8" localSheetId="18" hidden="1">#REF!</definedName>
    <definedName name="BExOIYCN8Z4JK3OOG86KYUCV0ME8" hidden="1">#REF!</definedName>
    <definedName name="BExOJ1HV93EOH7BOVAII53VPS2G2" localSheetId="18" hidden="1">#REF!</definedName>
    <definedName name="BExOJ1HV93EOH7BOVAII53VPS2G2" hidden="1">#REF!</definedName>
    <definedName name="BExOJ3AKZ9BCBZT3KD8WMSLK6MN2" localSheetId="18" hidden="1">#REF!</definedName>
    <definedName name="BExOJ3AKZ9BCBZT3KD8WMSLK6MN2" hidden="1">#REF!</definedName>
    <definedName name="BExOJ3FWAWMR29DR11VER2OQPUJT" localSheetId="18" hidden="1">#REF!</definedName>
    <definedName name="BExOJ3FWAWMR29DR11VER2OQPUJT" hidden="1">#REF!</definedName>
    <definedName name="BExOJ7XQK71I4YZDD29AKOOWZ47E" localSheetId="18" hidden="1">#REF!</definedName>
    <definedName name="BExOJ7XQK71I4YZDD29AKOOWZ47E" hidden="1">#REF!</definedName>
    <definedName name="BExOJM0W6XGSW5MXPTTX0GNF6SFT" localSheetId="18" hidden="1">#REF!</definedName>
    <definedName name="BExOJM0W6XGSW5MXPTTX0GNF6SFT" hidden="1">#REF!</definedName>
    <definedName name="BExOJXEUJJ9SYRJXKYYV2NCCDT2R" localSheetId="18" hidden="1">#REF!</definedName>
    <definedName name="BExOJXEUJJ9SYRJXKYYV2NCCDT2R" hidden="1">#REF!</definedName>
    <definedName name="BExOK0EQYM9JUMAGWOUN7QDH7VMZ" localSheetId="18" hidden="1">#REF!</definedName>
    <definedName name="BExOK0EQYM9JUMAGWOUN7QDH7VMZ" hidden="1">#REF!</definedName>
    <definedName name="BExOK4WM9O7QNG6O57FOASI5QSN1" localSheetId="18" hidden="1">#REF!</definedName>
    <definedName name="BExOK4WM9O7QNG6O57FOASI5QSN1" hidden="1">#REF!</definedName>
    <definedName name="BExOK6EKT2189GVNUAT82OZYA3XB" localSheetId="18" hidden="1">#REF!</definedName>
    <definedName name="BExOK6EKT2189GVNUAT82OZYA3XB" hidden="1">#REF!</definedName>
    <definedName name="BExOKFUDO7FXT8ZXISPIKAJYI0CO" localSheetId="18" hidden="1">#REF!</definedName>
    <definedName name="BExOKFUDO7FXT8ZXISPIKAJYI0CO" hidden="1">#REF!</definedName>
    <definedName name="BExOKI3C3DWTNF6PRKG2XY34A3JA" localSheetId="18" hidden="1">#REF!</definedName>
    <definedName name="BExOKI3C3DWTNF6PRKG2XY34A3JA" hidden="1">#REF!</definedName>
    <definedName name="BExOKKHOPWUVRJGQJ5ONR2U40JX8" localSheetId="18" hidden="1">#REF!</definedName>
    <definedName name="BExOKKHOPWUVRJGQJ5ONR2U40JX8" hidden="1">#REF!</definedName>
    <definedName name="BExOKTXMJP351VXKH8VT6SXUNIMF" localSheetId="18" hidden="1">#REF!</definedName>
    <definedName name="BExOKTXMJP351VXKH8VT6SXUNIMF" hidden="1">#REF!</definedName>
    <definedName name="BExOKU8GMLOCNVORDE329819XN67" localSheetId="18" hidden="1">#REF!</definedName>
    <definedName name="BExOKU8GMLOCNVORDE329819XN67" hidden="1">#REF!</definedName>
    <definedName name="BExOL0Z3Z7IAMHPB91EO2MF49U57" localSheetId="18" hidden="1">#REF!</definedName>
    <definedName name="BExOL0Z3Z7IAMHPB91EO2MF49U57" hidden="1">#REF!</definedName>
    <definedName name="BExOL7KH12VAR0LG741SIOJTLWFD" localSheetId="18" hidden="1">#REF!</definedName>
    <definedName name="BExOL7KH12VAR0LG741SIOJTLWFD" hidden="1">#REF!</definedName>
    <definedName name="BExOLICXFHJLILCJVFMJE5MGGWKR" localSheetId="18" hidden="1">#REF!</definedName>
    <definedName name="BExOLICXFHJLILCJVFMJE5MGGWKR" hidden="1">#REF!</definedName>
    <definedName name="BExOLOI0WJS3QC12I3ISL0D9AWOF" localSheetId="18" hidden="1">#REF!</definedName>
    <definedName name="BExOLOI0WJS3QC12I3ISL0D9AWOF" hidden="1">#REF!</definedName>
    <definedName name="BExOLUCCA6OM4TBUAJHS6O1UU6TO" localSheetId="18" hidden="1">#REF!</definedName>
    <definedName name="BExOLUCCA6OM4TBUAJHS6O1UU6TO" hidden="1">#REF!</definedName>
    <definedName name="BExOLYZNG5RBD0BTS1OEZJNU92Q5" localSheetId="18" hidden="1">#REF!</definedName>
    <definedName name="BExOLYZNG5RBD0BTS1OEZJNU92Q5" hidden="1">#REF!</definedName>
    <definedName name="BExOM3HIJ3UZPOKJI68KPBJAHPDC" localSheetId="18" hidden="1">#REF!</definedName>
    <definedName name="BExOM3HIJ3UZPOKJI68KPBJAHPDC" hidden="1">#REF!</definedName>
    <definedName name="BExOM8VPAS5WZAM0QNYW8ZY56VAP" localSheetId="18" hidden="1">#REF!</definedName>
    <definedName name="BExOM8VPAS5WZAM0QNYW8ZY56VAP" hidden="1">#REF!</definedName>
    <definedName name="BExOMKPURE33YQ3K1JG9NVQD4W49" localSheetId="18" hidden="1">#REF!</definedName>
    <definedName name="BExOMKPURE33YQ3K1JG9NVQD4W49" hidden="1">#REF!</definedName>
    <definedName name="BExOMP7NGCLUNFK50QD2LPKRG078" localSheetId="18" hidden="1">#REF!</definedName>
    <definedName name="BExOMP7NGCLUNFK50QD2LPKRG078" hidden="1">#REF!</definedName>
    <definedName name="BExOMU0A6XMY48SZRYL4WQZD13BI" localSheetId="18" hidden="1">#REF!</definedName>
    <definedName name="BExOMU0A6XMY48SZRYL4WQZD13BI" hidden="1">#REF!</definedName>
    <definedName name="BExOMVT0HSNC59DJP4CLISASGHKL" localSheetId="18" hidden="1">#REF!</definedName>
    <definedName name="BExOMVT0HSNC59DJP4CLISASGHKL" hidden="1">#REF!</definedName>
    <definedName name="BExON0AX35F2SI0UCVMGWGVIUNI3" localSheetId="18" hidden="1">#REF!</definedName>
    <definedName name="BExON0AX35F2SI0UCVMGWGVIUNI3" hidden="1">#REF!</definedName>
    <definedName name="BExON41U4296DV3DPG6I5EF3OEYF" localSheetId="18" hidden="1">#REF!</definedName>
    <definedName name="BExON41U4296DV3DPG6I5EF3OEYF" hidden="1">#REF!</definedName>
    <definedName name="BExONB3A7CO4YD8RB41PHC93BQ9M" localSheetId="18" hidden="1">#REF!</definedName>
    <definedName name="BExONB3A7CO4YD8RB41PHC93BQ9M" hidden="1">#REF!</definedName>
    <definedName name="BExONDSE2SJ2Q00MS22HA9D59305" localSheetId="18" hidden="1">#REF!</definedName>
    <definedName name="BExONDSE2SJ2Q00MS22HA9D59305" hidden="1">#REF!</definedName>
    <definedName name="BExONFQH6UUXF8V0GI4BRIST9RFO" localSheetId="18" hidden="1">#REF!</definedName>
    <definedName name="BExONFQH6UUXF8V0GI4BRIST9RFO" hidden="1">#REF!</definedName>
    <definedName name="BExONIL31DZWU7IFVN3VV0XTXJA1" localSheetId="18" hidden="1">#REF!</definedName>
    <definedName name="BExONIL31DZWU7IFVN3VV0XTXJA1" hidden="1">#REF!</definedName>
    <definedName name="BExONJ1BU17R0F5A2UP1UGJBOGKS" localSheetId="18" hidden="1">#REF!</definedName>
    <definedName name="BExONJ1BU17R0F5A2UP1UGJBOGKS" hidden="1">#REF!</definedName>
    <definedName name="BExONNZ9VMHVX3J6NLNJY7KZA61O" localSheetId="18" hidden="1">#REF!</definedName>
    <definedName name="BExONNZ9VMHVX3J6NLNJY7KZA61O" hidden="1">#REF!</definedName>
    <definedName name="BExONRQ1BAA4F3TXP2MYQ4YCZ09S" localSheetId="18" hidden="1">#REF!</definedName>
    <definedName name="BExONRQ1BAA4F3TXP2MYQ4YCZ09S" hidden="1">#REF!</definedName>
    <definedName name="BExOO0EYS79NAIW0WEELRXCYS9GK" localSheetId="18" hidden="1">'[38]10.08.3 - 2008 Expense - TDBU'!#REF!</definedName>
    <definedName name="BExOO0EYS79NAIW0WEELRXCYS9GK" hidden="1">'[38]10.08.3 - 2008 Expense - TDBU'!#REF!</definedName>
    <definedName name="BExOO1WWIZSGB0YTGKESB45TSVMZ" localSheetId="18" hidden="1">#REF!</definedName>
    <definedName name="BExOO1WWIZSGB0YTGKESB45TSVMZ" hidden="1">#REF!</definedName>
    <definedName name="BExOO4B8FPAFYPHCTYTX37P1TQM5" localSheetId="18" hidden="1">#REF!</definedName>
    <definedName name="BExOO4B8FPAFYPHCTYTX37P1TQM5" hidden="1">#REF!</definedName>
    <definedName name="BExOO5D2QZREOU0YQCGPBXBS4YQ1" localSheetId="18" hidden="1">#REF!</definedName>
    <definedName name="BExOO5D2QZREOU0YQCGPBXBS4YQ1" hidden="1">#REF!</definedName>
    <definedName name="BExOO6ERU9G120RGLKYWC09LZ5RE" localSheetId="18" hidden="1">#REF!</definedName>
    <definedName name="BExOO6ERU9G120RGLKYWC09LZ5RE" hidden="1">#REF!</definedName>
    <definedName name="BExOO824YWJ12GSXLC07K7266C14" localSheetId="18" hidden="1">#REF!</definedName>
    <definedName name="BExOO824YWJ12GSXLC07K7266C14" hidden="1">#REF!</definedName>
    <definedName name="BExOOIULUDOJRMYABWV5CCL906X6" localSheetId="18" hidden="1">#REF!</definedName>
    <definedName name="BExOOIULUDOJRMYABWV5CCL906X6" hidden="1">#REF!</definedName>
    <definedName name="BExOOLE93DKM88V3PQ8ELSMZCHUA" localSheetId="18" hidden="1">#REF!</definedName>
    <definedName name="BExOOLE93DKM88V3PQ8ELSMZCHUA" hidden="1">#REF!</definedName>
    <definedName name="BExOOTN0KTXJCL7E476XBN1CJ553" localSheetId="18" hidden="1">#REF!</definedName>
    <definedName name="BExOOTN0KTXJCL7E476XBN1CJ553" hidden="1">#REF!</definedName>
    <definedName name="BExOP9DEBV5W5P4Q25J3XCJBP5S9" localSheetId="18" hidden="1">#REF!</definedName>
    <definedName name="BExOP9DEBV5W5P4Q25J3XCJBP5S9" hidden="1">#REF!</definedName>
    <definedName name="BExOPFNYRBL0BFM23LZBJTADNOE4" localSheetId="18" hidden="1">#REF!</definedName>
    <definedName name="BExOPFNYRBL0BFM23LZBJTADNOE4" hidden="1">#REF!</definedName>
    <definedName name="BExOPINVFSIZMCVT9YGT2AODVCX3" localSheetId="18" hidden="1">#REF!</definedName>
    <definedName name="BExOPINVFSIZMCVT9YGT2AODVCX3" hidden="1">#REF!</definedName>
    <definedName name="BExOQ1JN4SAC44RTMZIGHSW023WA" localSheetId="18" hidden="1">#REF!</definedName>
    <definedName name="BExOQ1JN4SAC44RTMZIGHSW023WA" hidden="1">#REF!</definedName>
    <definedName name="BExOQ256YMF115DJL3KBPNKABJ90" localSheetId="18" hidden="1">#REF!</definedName>
    <definedName name="BExOQ256YMF115DJL3KBPNKABJ90" hidden="1">#REF!</definedName>
    <definedName name="BExQ19DEUOLC11IW32E2AMVZLFF1" localSheetId="18" hidden="1">#REF!</definedName>
    <definedName name="BExQ19DEUOLC11IW32E2AMVZLFF1" hidden="1">#REF!</definedName>
    <definedName name="BExQ1FD6KISGYU1JWEQ4G243ZPVD" localSheetId="18" hidden="1">#REF!</definedName>
    <definedName name="BExQ1FD6KISGYU1JWEQ4G243ZPVD" hidden="1">#REF!</definedName>
    <definedName name="BExQ1OYH5SW4PG5JI8ED4NJN4422" localSheetId="18" hidden="1">#REF!</definedName>
    <definedName name="BExQ1OYH5SW4PG5JI8ED4NJN4422" hidden="1">#REF!</definedName>
    <definedName name="BExQ29C73XR33S3668YYSYZAIHTG" localSheetId="18" hidden="1">#REF!</definedName>
    <definedName name="BExQ29C73XR33S3668YYSYZAIHTG" hidden="1">#REF!</definedName>
    <definedName name="BExQ2D8FO6F5AOMJ5FJODJ81T8C3" localSheetId="18" hidden="1">#REF!</definedName>
    <definedName name="BExQ2D8FO6F5AOMJ5FJODJ81T8C3" hidden="1">#REF!</definedName>
    <definedName name="BExQ2FS228IUDUP2023RA1D4AO4C" localSheetId="18" hidden="1">#REF!</definedName>
    <definedName name="BExQ2FS228IUDUP2023RA1D4AO4C" hidden="1">#REF!</definedName>
    <definedName name="BExQ2L0XYWLY9VPZWXYYFRIRQRJ1" localSheetId="18" hidden="1">#REF!</definedName>
    <definedName name="BExQ2L0XYWLY9VPZWXYYFRIRQRJ1" hidden="1">#REF!</definedName>
    <definedName name="BExQ2M841F5Z1BQYR8DG5FKK0LIU" localSheetId="18" hidden="1">#REF!</definedName>
    <definedName name="BExQ2M841F5Z1BQYR8DG5FKK0LIU" hidden="1">#REF!</definedName>
    <definedName name="BExQ2V7SO1UTLMJ1NFVRKDOOQAP2" localSheetId="18" hidden="1">#REF!</definedName>
    <definedName name="BExQ2V7SO1UTLMJ1NFVRKDOOQAP2" hidden="1">#REF!</definedName>
    <definedName name="BExQ300G8I8TK45A0MVHV15422EU" localSheetId="18" hidden="1">#REF!</definedName>
    <definedName name="BExQ300G8I8TK45A0MVHV15422EU" hidden="1">#REF!</definedName>
    <definedName name="BExQ39R28MXSG2SEV956F0KZ20AN" localSheetId="18" hidden="1">#REF!</definedName>
    <definedName name="BExQ39R28MXSG2SEV956F0KZ20AN" hidden="1">#REF!</definedName>
    <definedName name="BExQ3D1P3M5Z3HLMEZ17E0BLEE4U" localSheetId="18" hidden="1">#REF!</definedName>
    <definedName name="BExQ3D1P3M5Z3HLMEZ17E0BLEE4U" hidden="1">#REF!</definedName>
    <definedName name="BExQ3D1PQ0OOWP5T1D37RLPA9BFX" localSheetId="18" hidden="1">#REF!</definedName>
    <definedName name="BExQ3D1PQ0OOWP5T1D37RLPA9BFX" hidden="1">#REF!</definedName>
    <definedName name="BExQ3LW3GD5LUIS2HB4C1TEJJP2P" localSheetId="18" hidden="1">#REF!</definedName>
    <definedName name="BExQ3LW3GD5LUIS2HB4C1TEJJP2P" hidden="1">#REF!</definedName>
    <definedName name="BExQ3O4W7QF8BOXTUT4IOGF6YKUD" localSheetId="18" hidden="1">#REF!</definedName>
    <definedName name="BExQ3O4W7QF8BOXTUT4IOGF6YKUD" hidden="1">#REF!</definedName>
    <definedName name="BExQ3PXOWSN8561ZR8IEY8ZASI3B" localSheetId="18" hidden="1">#REF!</definedName>
    <definedName name="BExQ3PXOWSN8561ZR8IEY8ZASI3B" hidden="1">#REF!</definedName>
    <definedName name="BExQ3TZF04IPY0B0UG9CQQ5736UA" localSheetId="18" hidden="1">#REF!</definedName>
    <definedName name="BExQ3TZF04IPY0B0UG9CQQ5736UA" hidden="1">#REF!</definedName>
    <definedName name="BExQ42IU9MNDYLODP41DL6YTZMAR" localSheetId="18" hidden="1">#REF!</definedName>
    <definedName name="BExQ42IU9MNDYLODP41DL6YTZMAR" hidden="1">#REF!</definedName>
    <definedName name="BExQ452HF7N1HYPXJXQ8WD6SOWUV" localSheetId="18" hidden="1">#REF!</definedName>
    <definedName name="BExQ452HF7N1HYPXJXQ8WD6SOWUV" hidden="1">#REF!</definedName>
    <definedName name="BExQ499KBJ5W7A1G293A0K14EVQB" localSheetId="18" hidden="1">#REF!</definedName>
    <definedName name="BExQ499KBJ5W7A1G293A0K14EVQB" hidden="1">#REF!</definedName>
    <definedName name="BExQ4BTBSHPHVEDRCXC2ROW8PLFC" localSheetId="18" hidden="1">#REF!</definedName>
    <definedName name="BExQ4BTBSHPHVEDRCXC2ROW8PLFC" hidden="1">#REF!</definedName>
    <definedName name="BExQ4DGKF54SRKQUTUT4B1CZSS62" localSheetId="18" hidden="1">#REF!</definedName>
    <definedName name="BExQ4DGKF54SRKQUTUT4B1CZSS62" hidden="1">#REF!</definedName>
    <definedName name="BExQ4FV23PRA8ZOTVPNAWYTCYRR2" localSheetId="18" hidden="1">#REF!</definedName>
    <definedName name="BExQ4FV23PRA8ZOTVPNAWYTCYRR2" hidden="1">#REF!</definedName>
    <definedName name="BExQ4KSYQQLLYN7NYUBF7WND3ACX" localSheetId="18" hidden="1">#REF!</definedName>
    <definedName name="BExQ4KSYQQLLYN7NYUBF7WND3ACX" hidden="1">#REF!</definedName>
    <definedName name="BExQ4T74LQ5PYTV1MUQUW75A4BDY" localSheetId="18" hidden="1">#REF!</definedName>
    <definedName name="BExQ4T74LQ5PYTV1MUQUW75A4BDY" hidden="1">#REF!</definedName>
    <definedName name="BExQ4XJHD7EJCNH7S1MJDZJ2MNWG" localSheetId="18" hidden="1">#REF!</definedName>
    <definedName name="BExQ4XJHD7EJCNH7S1MJDZJ2MNWG" hidden="1">#REF!</definedName>
    <definedName name="BExQ5039ZCEWBUJHU682G4S89J03" localSheetId="18" hidden="1">#REF!</definedName>
    <definedName name="BExQ5039ZCEWBUJHU682G4S89J03" hidden="1">#REF!</definedName>
    <definedName name="BExQ56Z9W6YHZHRXOFFI8EFA7CDI" localSheetId="18" hidden="1">#REF!</definedName>
    <definedName name="BExQ56Z9W6YHZHRXOFFI8EFA7CDI" hidden="1">#REF!</definedName>
    <definedName name="BExQ5DQ4DQOLJ6KAS500VUBF9OTL" localSheetId="18" hidden="1">#REF!</definedName>
    <definedName name="BExQ5DQ4DQOLJ6KAS500VUBF9OTL" hidden="1">#REF!</definedName>
    <definedName name="BExQ5DVF3U6CH0PO809ZFLIE9A0F" localSheetId="18" hidden="1">'[38]10.08.2 - 2008 Expense'!#REF!</definedName>
    <definedName name="BExQ5DVF3U6CH0PO809ZFLIE9A0F" hidden="1">'[38]10.08.2 - 2008 Expense'!#REF!</definedName>
    <definedName name="BExQ5IO89JL1G3PO02VX1LHZHLZ1" localSheetId="18" hidden="1">#REF!</definedName>
    <definedName name="BExQ5IO89JL1G3PO02VX1LHZHLZ1" hidden="1">#REF!</definedName>
    <definedName name="BExQ5KX3Z668H1KUCKZ9J24HUQ1F" localSheetId="18" hidden="1">#REF!</definedName>
    <definedName name="BExQ5KX3Z668H1KUCKZ9J24HUQ1F" hidden="1">#REF!</definedName>
    <definedName name="BExQ5SPMSOCJYLAY20NB5A6O32RE" localSheetId="18" hidden="1">#REF!</definedName>
    <definedName name="BExQ5SPMSOCJYLAY20NB5A6O32RE" hidden="1">#REF!</definedName>
    <definedName name="BExQ5UICMGTMK790KTLK49MAGXRC" localSheetId="18" hidden="1">#REF!</definedName>
    <definedName name="BExQ5UICMGTMK790KTLK49MAGXRC" hidden="1">#REF!</definedName>
    <definedName name="BExQ5UID6Y8WYNRD669UN70IZT91" localSheetId="18" hidden="1">#REF!</definedName>
    <definedName name="BExQ5UID6Y8WYNRD669UN70IZT91" hidden="1">#REF!</definedName>
    <definedName name="BExQ5VEOVW4SMWTX520KZ3TVUW0I" localSheetId="18" hidden="1">#REF!</definedName>
    <definedName name="BExQ5VEOVW4SMWTX520KZ3TVUW0I" hidden="1">#REF!</definedName>
    <definedName name="BExQ5VEQEIJO7YY80OJTA3XRQYJ9" localSheetId="18" hidden="1">#REF!</definedName>
    <definedName name="BExQ5VEQEIJO7YY80OJTA3XRQYJ9" hidden="1">#REF!</definedName>
    <definedName name="BExQ5Y3SSM2ICJCUN3XZ10VMPD4D" localSheetId="18" hidden="1">#REF!</definedName>
    <definedName name="BExQ5Y3SSM2ICJCUN3XZ10VMPD4D" hidden="1">#REF!</definedName>
    <definedName name="BExQ5YUUK9FD0QGTY4WD0W90O7OL" localSheetId="18" hidden="1">#REF!</definedName>
    <definedName name="BExQ5YUUK9FD0QGTY4WD0W90O7OL" hidden="1">#REF!</definedName>
    <definedName name="BExQ631QZYS8VO7HE6HNP34CEOR2" localSheetId="18" hidden="1">#REF!</definedName>
    <definedName name="BExQ631QZYS8VO7HE6HNP34CEOR2" hidden="1">#REF!</definedName>
    <definedName name="BExQ63793YQ9BH7JLCNRIATIGTRG" localSheetId="18" hidden="1">#REF!</definedName>
    <definedName name="BExQ63793YQ9BH7JLCNRIATIGTRG" hidden="1">#REF!</definedName>
    <definedName name="BExQ6CN1EF2UPZ57ZYMGK8TUJQSS" localSheetId="18" hidden="1">#REF!</definedName>
    <definedName name="BExQ6CN1EF2UPZ57ZYMGK8TUJQSS" hidden="1">#REF!</definedName>
    <definedName name="BExQ6M2YXJ8AMRJF3QGHC40ADAHZ" localSheetId="18" hidden="1">#REF!</definedName>
    <definedName name="BExQ6M2YXJ8AMRJF3QGHC40ADAHZ" hidden="1">#REF!</definedName>
    <definedName name="BExQ6M8APM0TVP9WQAFVTB8N0NXA" localSheetId="18" hidden="1">#REF!</definedName>
    <definedName name="BExQ6M8APM0TVP9WQAFVTB8N0NXA" hidden="1">#REF!</definedName>
    <definedName name="BExQ6M8B0X44N9TV56ATUVHGDI00" localSheetId="18" hidden="1">#REF!</definedName>
    <definedName name="BExQ6M8B0X44N9TV56ATUVHGDI00" hidden="1">#REF!</definedName>
    <definedName name="BExQ6POH065GV0I74XXVD0VUPBJW" localSheetId="18" hidden="1">#REF!</definedName>
    <definedName name="BExQ6POH065GV0I74XXVD0VUPBJW" hidden="1">#REF!</definedName>
    <definedName name="BExQ6R0YG1HMF8DVPFMIHIOUSMVE" localSheetId="18" hidden="1">#REF!</definedName>
    <definedName name="BExQ6R0YG1HMF8DVPFMIHIOUSMVE" hidden="1">#REF!</definedName>
    <definedName name="BExQ6WV9KPSMXPPLGZ3KK4WNYTHU" localSheetId="18" hidden="1">#REF!</definedName>
    <definedName name="BExQ6WV9KPSMXPPLGZ3KK4WNYTHU" hidden="1">#REF!</definedName>
    <definedName name="BExQ6Z48UU3475XVS5MSB61Y2LTN" localSheetId="18" hidden="1">'[38]10.08.5 - 2008 Capital - TDBU'!#REF!</definedName>
    <definedName name="BExQ6Z48UU3475XVS5MSB61Y2LTN" hidden="1">'[38]10.08.5 - 2008 Capital - TDBU'!#REF!</definedName>
    <definedName name="BExQ783XTMM2A9I3UKCFWJH1PP2N" localSheetId="18" hidden="1">#REF!</definedName>
    <definedName name="BExQ783XTMM2A9I3UKCFWJH1PP2N" hidden="1">#REF!</definedName>
    <definedName name="BExQ79LX01ZPQB8EGD1ZHR2VK2H3" localSheetId="18" hidden="1">#REF!</definedName>
    <definedName name="BExQ79LX01ZPQB8EGD1ZHR2VK2H3" hidden="1">#REF!</definedName>
    <definedName name="BExQ7AT1ON4L7W584EXCOXCQ8AF8" localSheetId="18" hidden="1">#REF!</definedName>
    <definedName name="BExQ7AT1ON4L7W584EXCOXCQ8AF8" hidden="1">#REF!</definedName>
    <definedName name="BExQ7B3V9MGDK2OIJ61XXFBFLJFZ" localSheetId="18" hidden="1">#REF!</definedName>
    <definedName name="BExQ7B3V9MGDK2OIJ61XXFBFLJFZ" hidden="1">#REF!</definedName>
    <definedName name="BExQ7CB046NVPF9ZXDGA7OXOLSLX" localSheetId="18" hidden="1">#REF!</definedName>
    <definedName name="BExQ7CB046NVPF9ZXDGA7OXOLSLX" hidden="1">#REF!</definedName>
    <definedName name="BExQ7IWDCGGOO1HTJ97YGO1CK3R9" localSheetId="18" hidden="1">#REF!</definedName>
    <definedName name="BExQ7IWDCGGOO1HTJ97YGO1CK3R9" hidden="1">#REF!</definedName>
    <definedName name="BExQ7JNFIEGS2HKNBALH3Q2N5G7Z" localSheetId="18" hidden="1">#REF!</definedName>
    <definedName name="BExQ7JNFIEGS2HKNBALH3Q2N5G7Z" hidden="1">#REF!</definedName>
    <definedName name="BExQ7MY3U2Z1IZ71U5LJUD00VVB4" localSheetId="18" hidden="1">#REF!</definedName>
    <definedName name="BExQ7MY3U2Z1IZ71U5LJUD00VVB4" hidden="1">#REF!</definedName>
    <definedName name="BExQ7NJJ5I2EFVEHCKSRF7BAOJX8" localSheetId="18" hidden="1">#REF!</definedName>
    <definedName name="BExQ7NJJ5I2EFVEHCKSRF7BAOJX8" hidden="1">#REF!</definedName>
    <definedName name="BExQ7OLEEXKKDJBY2RBEALGCVGC3" localSheetId="18" hidden="1">#REF!</definedName>
    <definedName name="BExQ7OLEEXKKDJBY2RBEALGCVGC3" hidden="1">#REF!</definedName>
    <definedName name="BExQ7XL2Q1GVUFL1F9KK0K0EXMWG" localSheetId="18" hidden="1">#REF!</definedName>
    <definedName name="BExQ7XL2Q1GVUFL1F9KK0K0EXMWG" hidden="1">#REF!</definedName>
    <definedName name="BExQ804OMLOOLGJAZ76PFIUFBWIX" localSheetId="18" hidden="1">#REF!</definedName>
    <definedName name="BExQ804OMLOOLGJAZ76PFIUFBWIX" hidden="1">#REF!</definedName>
    <definedName name="BExQ834L4O72YNJYUPLVXEJ7K3BU" localSheetId="18" hidden="1">#REF!</definedName>
    <definedName name="BExQ834L4O72YNJYUPLVXEJ7K3BU" hidden="1">#REF!</definedName>
    <definedName name="BExQ8469L3ZRZ3KYZPYMSJIDL7Y5" localSheetId="18" hidden="1">#REF!</definedName>
    <definedName name="BExQ8469L3ZRZ3KYZPYMSJIDL7Y5" hidden="1">#REF!</definedName>
    <definedName name="BExQ84MJB94HL3BWRN50M4NCB6Z0" localSheetId="18" hidden="1">#REF!</definedName>
    <definedName name="BExQ84MJB94HL3BWRN50M4NCB6Z0" hidden="1">#REF!</definedName>
    <definedName name="BExQ8583ZE00NW7T9OF11OT9IA14" localSheetId="18" hidden="1">#REF!</definedName>
    <definedName name="BExQ8583ZE00NW7T9OF11OT9IA14" hidden="1">#REF!</definedName>
    <definedName name="BExQ8A0RPE3IMIFIZLUE7KD2N21W" localSheetId="18" hidden="1">#REF!</definedName>
    <definedName name="BExQ8A0RPE3IMIFIZLUE7KD2N21W" hidden="1">#REF!</definedName>
    <definedName name="BExQ8ABK6H1ADV2R2OYT8NFFYG2N" localSheetId="18" hidden="1">#REF!</definedName>
    <definedName name="BExQ8ABK6H1ADV2R2OYT8NFFYG2N" hidden="1">#REF!</definedName>
    <definedName name="BExQ8DM90XJ6GCJIK9LC5O82I2TJ" localSheetId="18" hidden="1">#REF!</definedName>
    <definedName name="BExQ8DM90XJ6GCJIK9LC5O82I2TJ" hidden="1">#REF!</definedName>
    <definedName name="BExQ8DX1FNZIJVRD63724J6NDCOG" localSheetId="18" hidden="1">#REF!</definedName>
    <definedName name="BExQ8DX1FNZIJVRD63724J6NDCOG" hidden="1">#REF!</definedName>
    <definedName name="BExQ8G0K46ZORA0QVQTDI7Z8LXGF" localSheetId="18" hidden="1">#REF!</definedName>
    <definedName name="BExQ8G0K46ZORA0QVQTDI7Z8LXGF" hidden="1">#REF!</definedName>
    <definedName name="BExQ8O3WEU8HNTTGKTW5T0QSKCLP" localSheetId="18" hidden="1">#REF!</definedName>
    <definedName name="BExQ8O3WEU8HNTTGKTW5T0QSKCLP" hidden="1">#REF!</definedName>
    <definedName name="BExQ8PWMBELWDMVC65RE0VV0PKJ2" localSheetId="18" hidden="1">#REF!</definedName>
    <definedName name="BExQ8PWMBELWDMVC65RE0VV0PKJ2" hidden="1">#REF!</definedName>
    <definedName name="BExQ8XEDA0NG4CETTWK2XL8XZWLT" localSheetId="18" hidden="1">#REF!</definedName>
    <definedName name="BExQ8XEDA0NG4CETTWK2XL8XZWLT" hidden="1">#REF!</definedName>
    <definedName name="BExQ8ZCEDBOBJA3D9LDP5TU2WYGR" localSheetId="18" hidden="1">#REF!</definedName>
    <definedName name="BExQ8ZCEDBOBJA3D9LDP5TU2WYGR" hidden="1">#REF!</definedName>
    <definedName name="BExQ94LAW6MAQBWY25WTBFV5PPZJ" localSheetId="18" hidden="1">#REF!</definedName>
    <definedName name="BExQ94LAW6MAQBWY25WTBFV5PPZJ" hidden="1">#REF!</definedName>
    <definedName name="BExQ97QIPOSSRK978N8P234Y1XA4" localSheetId="18" hidden="1">#REF!</definedName>
    <definedName name="BExQ97QIPOSSRK978N8P234Y1XA4" hidden="1">#REF!</definedName>
    <definedName name="BExQ9E6FBAXTHGF3RXANFIA77GXP" localSheetId="18" hidden="1">#REF!</definedName>
    <definedName name="BExQ9E6FBAXTHGF3RXANFIA77GXP" hidden="1">#REF!</definedName>
    <definedName name="BExQ9F2YH4UUCCMQITJ475B3S3NP" localSheetId="18" hidden="1">#REF!</definedName>
    <definedName name="BExQ9F2YH4UUCCMQITJ475B3S3NP" hidden="1">#REF!</definedName>
    <definedName name="BExQ9KX9734KIAK7IMRLHCPYDHO2" localSheetId="18" hidden="1">#REF!</definedName>
    <definedName name="BExQ9KX9734KIAK7IMRLHCPYDHO2" hidden="1">#REF!</definedName>
    <definedName name="BExQ9L81FF4I7816VTPFBDWVU4CW" localSheetId="18" hidden="1">#REF!</definedName>
    <definedName name="BExQ9L81FF4I7816VTPFBDWVU4CW" hidden="1">#REF!</definedName>
    <definedName name="BExQ9M4E2ACZOWWWP1JJIQO8AHUM" localSheetId="18" hidden="1">#REF!</definedName>
    <definedName name="BExQ9M4E2ACZOWWWP1JJIQO8AHUM" hidden="1">#REF!</definedName>
    <definedName name="BExQ9R7UV4VT86NLRFAY9CP2M3CL" localSheetId="18" hidden="1">#REF!</definedName>
    <definedName name="BExQ9R7UV4VT86NLRFAY9CP2M3CL" hidden="1">#REF!</definedName>
    <definedName name="BExQ9UTANMJCK7LJ4OQMD6F2Q01L" localSheetId="18" hidden="1">#REF!</definedName>
    <definedName name="BExQ9UTANMJCK7LJ4OQMD6F2Q01L" hidden="1">#REF!</definedName>
    <definedName name="BExQ9ZLYHWABXAA9NJDW8ZS0UQ9P" localSheetId="18" hidden="1">[39]Table!#REF!</definedName>
    <definedName name="BExQ9ZLYHWABXAA9NJDW8ZS0UQ9P" hidden="1">[39]Table!#REF!</definedName>
    <definedName name="BExQA324HSCK40ENJUT9CS9EC71B" localSheetId="18" hidden="1">#REF!</definedName>
    <definedName name="BExQA324HSCK40ENJUT9CS9EC71B" hidden="1">#REF!</definedName>
    <definedName name="BExQA55GY0STSNBWQCWN8E31ZXCS" localSheetId="18" hidden="1">#REF!</definedName>
    <definedName name="BExQA55GY0STSNBWQCWN8E31ZXCS" hidden="1">#REF!</definedName>
    <definedName name="BExQA6Y7SIFO3MVYCQACIZ6YV0WS" localSheetId="18" hidden="1">#REF!</definedName>
    <definedName name="BExQA6Y7SIFO3MVYCQACIZ6YV0WS" hidden="1">#REF!</definedName>
    <definedName name="BExQA9HZIN9XEMHEEVHT99UU9Z82" localSheetId="18" hidden="1">#REF!</definedName>
    <definedName name="BExQA9HZIN9XEMHEEVHT99UU9Z82" hidden="1">#REF!</definedName>
    <definedName name="BExQAELFYH92K8CJL155181UDORO" localSheetId="18" hidden="1">#REF!</definedName>
    <definedName name="BExQAELFYH92K8CJL155181UDORO" hidden="1">#REF!</definedName>
    <definedName name="BExQAG8PP8R5NJKNQD1U4QOSD6X5" localSheetId="18" hidden="1">#REF!</definedName>
    <definedName name="BExQAG8PP8R5NJKNQD1U4QOSD6X5" hidden="1">#REF!</definedName>
    <definedName name="BExQATFG0VP9HTVNMWL5T6B3N3IP" localSheetId="18" hidden="1">#REF!</definedName>
    <definedName name="BExQATFG0VP9HTVNMWL5T6B3N3IP" hidden="1">#REF!</definedName>
    <definedName name="BExQAYDITUO5K8A2FQRB0H1O4I4E" localSheetId="18" hidden="1">#REF!</definedName>
    <definedName name="BExQAYDITUO5K8A2FQRB0H1O4I4E" hidden="1">#REF!</definedName>
    <definedName name="BExQBDICMZTSA1X73TMHNO4JSFLN" localSheetId="18" hidden="1">#REF!</definedName>
    <definedName name="BExQBDICMZTSA1X73TMHNO4JSFLN" hidden="1">#REF!</definedName>
    <definedName name="BExQBEER6CRCRPSSL61S0OMH57ZA" localSheetId="18" hidden="1">#REF!</definedName>
    <definedName name="BExQBEER6CRCRPSSL61S0OMH57ZA" hidden="1">#REF!</definedName>
    <definedName name="BExQBIGGY5TXI2FJVVZSLZ0LTZYH" localSheetId="18" hidden="1">#REF!</definedName>
    <definedName name="BExQBIGGY5TXI2FJVVZSLZ0LTZYH" hidden="1">#REF!</definedName>
    <definedName name="BExQBM1RUSIQ85LLMM2159BYDPIP" localSheetId="18" hidden="1">#REF!</definedName>
    <definedName name="BExQBM1RUSIQ85LLMM2159BYDPIP" hidden="1">#REF!</definedName>
    <definedName name="BExQBPSOZ47V81YAEURP0NQJNTJH" localSheetId="18" hidden="1">#REF!</definedName>
    <definedName name="BExQBPSOZ47V81YAEURP0NQJNTJH" hidden="1">#REF!</definedName>
    <definedName name="BExQBZZKW056AXUH7L35UYMATHNR" localSheetId="18" hidden="1">#REF!</definedName>
    <definedName name="BExQBZZKW056AXUH7L35UYMATHNR" hidden="1">#REF!</definedName>
    <definedName name="BExQC5TWT21CGBKD0IHAXTIN2QB8" localSheetId="18" hidden="1">#REF!</definedName>
    <definedName name="BExQC5TWT21CGBKD0IHAXTIN2QB8" hidden="1">#REF!</definedName>
    <definedName name="BExQC94JL9F5GW4S8DQCAF4WB2DA" localSheetId="18" hidden="1">#REF!</definedName>
    <definedName name="BExQC94JL9F5GW4S8DQCAF4WB2DA" hidden="1">#REF!</definedName>
    <definedName name="BExQCDH4D9DTA02ITMHNTDANJREJ" localSheetId="18" hidden="1">#REF!</definedName>
    <definedName name="BExQCDH4D9DTA02ITMHNTDANJREJ" hidden="1">#REF!</definedName>
    <definedName name="BExQCKTD8AT0824LGWREXM1B5D1X" localSheetId="18" hidden="1">#REF!</definedName>
    <definedName name="BExQCKTD8AT0824LGWREXM1B5D1X" hidden="1">#REF!</definedName>
    <definedName name="BExQCOV3MAQPJ038UJX6SNODPAZU" localSheetId="18" hidden="1">#REF!</definedName>
    <definedName name="BExQCOV3MAQPJ038UJX6SNODPAZU" hidden="1">#REF!</definedName>
    <definedName name="BExQD571YWOXKR2SX85K5MKQ0AO2" localSheetId="18" hidden="1">#REF!</definedName>
    <definedName name="BExQD571YWOXKR2SX85K5MKQ0AO2" hidden="1">#REF!</definedName>
    <definedName name="BExQD8SK7Y1Y0AYWI0WMF0ET8HR1" localSheetId="18" hidden="1">#REF!</definedName>
    <definedName name="BExQD8SK7Y1Y0AYWI0WMF0ET8HR1" hidden="1">#REF!</definedName>
    <definedName name="BExQDB6VCHN8PNX8EA6JNIEQ2JC2" localSheetId="18" hidden="1">#REF!</definedName>
    <definedName name="BExQDB6VCHN8PNX8EA6JNIEQ2JC2" hidden="1">#REF!</definedName>
    <definedName name="BExQDE1B6U2Q9B73KBENABP71YM1" localSheetId="18" hidden="1">#REF!</definedName>
    <definedName name="BExQDE1B6U2Q9B73KBENABP71YM1" hidden="1">#REF!</definedName>
    <definedName name="BExQDG4YSI6HR3RI4SO2KWMGKUPB" localSheetId="18" hidden="1">#REF!</definedName>
    <definedName name="BExQDG4YSI6HR3RI4SO2KWMGKUPB" hidden="1">#REF!</definedName>
    <definedName name="BExQDGQCN7ZW41QDUHOBJUGQAX40" localSheetId="18" hidden="1">#REF!</definedName>
    <definedName name="BExQDGQCN7ZW41QDUHOBJUGQAX40" hidden="1">#REF!</definedName>
    <definedName name="BExQE73VMCL6FGT6439XK03B088Y" localSheetId="18" hidden="1">#REF!</definedName>
    <definedName name="BExQE73VMCL6FGT6439XK03B088Y" hidden="1">#REF!</definedName>
    <definedName name="BExQEC7BRIJ30PTU3UPFOIP2HPE3" localSheetId="18" hidden="1">#REF!</definedName>
    <definedName name="BExQEC7BRIJ30PTU3UPFOIP2HPE3" hidden="1">#REF!</definedName>
    <definedName name="BExQELXVICMMT0JFDWUW1L3I335X" localSheetId="18" hidden="1">#REF!</definedName>
    <definedName name="BExQELXVICMMT0JFDWUW1L3I335X" hidden="1">#REF!</definedName>
    <definedName name="BExQEMUA4HEFM4OVO8M8MA8PIAW1" localSheetId="18" hidden="1">#REF!</definedName>
    <definedName name="BExQEMUA4HEFM4OVO8M8MA8PIAW1" hidden="1">#REF!</definedName>
    <definedName name="BExQEQ4XZQFIKUXNU9H7WE7AMZ1U" localSheetId="18" hidden="1">#REF!</definedName>
    <definedName name="BExQEQ4XZQFIKUXNU9H7WE7AMZ1U" hidden="1">#REF!</definedName>
    <definedName name="BExQERHKUGD73UH278HHQULBSG9M" localSheetId="18" hidden="1">#REF!</definedName>
    <definedName name="BExQERHKUGD73UH278HHQULBSG9M" hidden="1">#REF!</definedName>
    <definedName name="BExQESZI930ZHFKIRJ3TMK3X27PH" localSheetId="18" hidden="1">#REF!</definedName>
    <definedName name="BExQESZI930ZHFKIRJ3TMK3X27PH" hidden="1">#REF!</definedName>
    <definedName name="BExQEY88PESL76JUL4GA11W8IHFE" localSheetId="18" hidden="1">#REF!</definedName>
    <definedName name="BExQEY88PESL76JUL4GA11W8IHFE" hidden="1">#REF!</definedName>
    <definedName name="BExQF1OEB07CRAP6ALNNMJNJ3P2D" localSheetId="18" hidden="1">#REF!</definedName>
    <definedName name="BExQF1OEB07CRAP6ALNNMJNJ3P2D" hidden="1">#REF!</definedName>
    <definedName name="BExQF9X2AQPFJZTCHTU5PTTR0JAH" localSheetId="18" hidden="1">#REF!</definedName>
    <definedName name="BExQF9X2AQPFJZTCHTU5PTTR0JAH" hidden="1">#REF!</definedName>
    <definedName name="BExQFC0M9KKFMQKPLPEO2RQDB7MM" localSheetId="18" hidden="1">#REF!</definedName>
    <definedName name="BExQFC0M9KKFMQKPLPEO2RQDB7MM" hidden="1">#REF!</definedName>
    <definedName name="BExQFEEV7627R8TYZCM28C6V6WHE" localSheetId="18" hidden="1">#REF!</definedName>
    <definedName name="BExQFEEV7627R8TYZCM28C6V6WHE" hidden="1">#REF!</definedName>
    <definedName name="BExQFEK8NUD04X2OBRA275ADPSDL" localSheetId="18" hidden="1">#REF!</definedName>
    <definedName name="BExQFEK8NUD04X2OBRA275ADPSDL" hidden="1">#REF!</definedName>
    <definedName name="BExQFGYIWDR4W0YF7XR6E4EWWJ02" localSheetId="18" hidden="1">#REF!</definedName>
    <definedName name="BExQFGYIWDR4W0YF7XR6E4EWWJ02" hidden="1">#REF!</definedName>
    <definedName name="BExQFPNFKA36IAPS22LAUMBDI4KE" localSheetId="18" hidden="1">#REF!</definedName>
    <definedName name="BExQFPNFKA36IAPS22LAUMBDI4KE" hidden="1">#REF!</definedName>
    <definedName name="BExQFPSWEMA8WBUZ4WK20LR13VSU" localSheetId="18" hidden="1">#REF!</definedName>
    <definedName name="BExQFPSWEMA8WBUZ4WK20LR13VSU" hidden="1">#REF!</definedName>
    <definedName name="BExQFVSPOSCCPF1TLJPIWYWYB8A9" localSheetId="18" hidden="1">#REF!</definedName>
    <definedName name="BExQFVSPOSCCPF1TLJPIWYWYB8A9" hidden="1">#REF!</definedName>
    <definedName name="BExQFWJQXNQAW6LUMOEDS6KMJMYL" localSheetId="18" hidden="1">#REF!</definedName>
    <definedName name="BExQFWJQXNQAW6LUMOEDS6KMJMYL" hidden="1">#REF!</definedName>
    <definedName name="BExQFZZRMR5PQTR0X833N3LRX6ZL" localSheetId="18" hidden="1">#REF!</definedName>
    <definedName name="BExQFZZRMR5PQTR0X833N3LRX6ZL" hidden="1">#REF!</definedName>
    <definedName name="BExQG8TYRD2G42UA5ZPCRLNKUDMX" localSheetId="18" hidden="1">#REF!</definedName>
    <definedName name="BExQG8TYRD2G42UA5ZPCRLNKUDMX" hidden="1">#REF!</definedName>
    <definedName name="BExQGO48J9MPCDQ96RBB9UN9AIGT" localSheetId="18" hidden="1">#REF!</definedName>
    <definedName name="BExQGO48J9MPCDQ96RBB9UN9AIGT" hidden="1">#REF!</definedName>
    <definedName name="BExQGSBB6MJWDW7AYWA0MSFTXKRR" localSheetId="18" hidden="1">#REF!</definedName>
    <definedName name="BExQGSBB6MJWDW7AYWA0MSFTXKRR" hidden="1">#REF!</definedName>
    <definedName name="BExQGV5VQ04IFVBYEFOZQHKJ561J" localSheetId="18" hidden="1">#REF!</definedName>
    <definedName name="BExQGV5VQ04IFVBYEFOZQHKJ561J" hidden="1">#REF!</definedName>
    <definedName name="BExQGVB7GL4W9291MCCPQ46Z66C1" localSheetId="18" hidden="1">#REF!</definedName>
    <definedName name="BExQGVB7GL4W9291MCCPQ46Z66C1" hidden="1">#REF!</definedName>
    <definedName name="BExQH0UURAJ13AVO5UI04HSRGVYW" localSheetId="18" hidden="1">#REF!</definedName>
    <definedName name="BExQH0UURAJ13AVO5UI04HSRGVYW" hidden="1">#REF!</definedName>
    <definedName name="BExQH6ZZY0NR8SE48PSI9D0CU1TC" localSheetId="18" hidden="1">#REF!</definedName>
    <definedName name="BExQH6ZZY0NR8SE48PSI9D0CU1TC" hidden="1">#REF!</definedName>
    <definedName name="BExQH9P2MCXAJOVEO4GFQT6MNW22" localSheetId="18" hidden="1">#REF!</definedName>
    <definedName name="BExQH9P2MCXAJOVEO4GFQT6MNW22" hidden="1">#REF!</definedName>
    <definedName name="BExQHCZSBYUY8OKKJXFYWKBBM6AH" localSheetId="18" hidden="1">#REF!</definedName>
    <definedName name="BExQHCZSBYUY8OKKJXFYWKBBM6AH" hidden="1">#REF!</definedName>
    <definedName name="BExQHPKXZ1K33V2F90NZIQRZYIAW" localSheetId="18" hidden="1">#REF!</definedName>
    <definedName name="BExQHPKXZ1K33V2F90NZIQRZYIAW" hidden="1">#REF!</definedName>
    <definedName name="BExQHVF9KD06AG2RXUQJ9X4PVGX4" localSheetId="18" hidden="1">#REF!</definedName>
    <definedName name="BExQHVF9KD06AG2RXUQJ9X4PVGX4" hidden="1">#REF!</definedName>
    <definedName name="BExQHXDHUYC4Q1EIPVGT5YX2JZL4" localSheetId="18" hidden="1">#REF!</definedName>
    <definedName name="BExQHXDHUYC4Q1EIPVGT5YX2JZL4" hidden="1">#REF!</definedName>
    <definedName name="BExQHZBHVN2L4HC7ACTR73T5OCV0" localSheetId="18" hidden="1">#REF!</definedName>
    <definedName name="BExQHZBHVN2L4HC7ACTR73T5OCV0" hidden="1">#REF!</definedName>
    <definedName name="BExQI5M37YD0WH3DQITAZHZBB115" localSheetId="18" hidden="1">#REF!</definedName>
    <definedName name="BExQI5M37YD0WH3DQITAZHZBB115" hidden="1">#REF!</definedName>
    <definedName name="BExQI7V42EHAI28LLDLOQJ1ETBBF" localSheetId="18" hidden="1">#REF!</definedName>
    <definedName name="BExQI7V42EHAI28LLDLOQJ1ETBBF" hidden="1">#REF!</definedName>
    <definedName name="BExQI85V9TNLDJT5LTRZS10Y26SG" localSheetId="18" hidden="1">#REF!</definedName>
    <definedName name="BExQI85V9TNLDJT5LTRZS10Y26SG" hidden="1">#REF!</definedName>
    <definedName name="BExQIAPKHVEV8CU1L3TTHJW67FJ5" localSheetId="18" hidden="1">#REF!</definedName>
    <definedName name="BExQIAPKHVEV8CU1L3TTHJW67FJ5" hidden="1">#REF!</definedName>
    <definedName name="BExQIBB4I3Z6AUU0HYV1DHRS13M4" localSheetId="18" hidden="1">#REF!</definedName>
    <definedName name="BExQIBB4I3Z6AUU0HYV1DHRS13M4" hidden="1">#REF!</definedName>
    <definedName name="BExQIBWPAXU7HJZLKGJZY3EB7MIS" localSheetId="18" hidden="1">#REF!</definedName>
    <definedName name="BExQIBWPAXU7HJZLKGJZY3EB7MIS" hidden="1">#REF!</definedName>
    <definedName name="BExQIEB09IBJU22LBRVC4SFL687J" localSheetId="18" hidden="1">#REF!</definedName>
    <definedName name="BExQIEB09IBJU22LBRVC4SFL687J" hidden="1">#REF!</definedName>
    <definedName name="BExQIJUJOU8IYLVQCFMPTADHZ9J7" localSheetId="18" hidden="1">#REF!</definedName>
    <definedName name="BExQIJUJOU8IYLVQCFMPTADHZ9J7" hidden="1">#REF!</definedName>
    <definedName name="BExQIS8O6R36CI01XRY9ISM99TW9" localSheetId="18" hidden="1">#REF!</definedName>
    <definedName name="BExQIS8O6R36CI01XRY9ISM99TW9" hidden="1">#REF!</definedName>
    <definedName name="BExQIVJB9MJ25NDUHTCVMSODJY2C" localSheetId="18" hidden="1">#REF!</definedName>
    <definedName name="BExQIVJB9MJ25NDUHTCVMSODJY2C" hidden="1">#REF!</definedName>
    <definedName name="BExQJ2KYENKJB760H4Z8NV8Z08WT" localSheetId="18" hidden="1">#REF!</definedName>
    <definedName name="BExQJ2KYENKJB760H4Z8NV8Z08WT" hidden="1">#REF!</definedName>
    <definedName name="BExQJ4DQ84ZQCB1WU62YHO0XEQSV" localSheetId="18" hidden="1">#REF!</definedName>
    <definedName name="BExQJ4DQ84ZQCB1WU62YHO0XEQSV" hidden="1">#REF!</definedName>
    <definedName name="BExQJBF7LAX128WR7VTMJC88ZLPG" localSheetId="18" hidden="1">#REF!</definedName>
    <definedName name="BExQJBF7LAX128WR7VTMJC88ZLPG" hidden="1">#REF!</definedName>
    <definedName name="BExQJEVCKX6KZHNCLYXY7D0MX5KN" localSheetId="18" hidden="1">#REF!</definedName>
    <definedName name="BExQJEVCKX6KZHNCLYXY7D0MX5KN" hidden="1">#REF!</definedName>
    <definedName name="BExQJJYSDX8B0J1QGF2HL071KKA3" localSheetId="18" hidden="1">#REF!</definedName>
    <definedName name="BExQJJYSDX8B0J1QGF2HL071KKA3" hidden="1">#REF!</definedName>
    <definedName name="BExQJQPFM9GN0NWOW73O5VE3NTJO" localSheetId="18" hidden="1">#REF!</definedName>
    <definedName name="BExQJQPFM9GN0NWOW73O5VE3NTJO" hidden="1">#REF!</definedName>
    <definedName name="BExQK1HV6SQQ7CP8H8IUKI9TYXTD" localSheetId="18" hidden="1">#REF!</definedName>
    <definedName name="BExQK1HV6SQQ7CP8H8IUKI9TYXTD" hidden="1">#REF!</definedName>
    <definedName name="BExQK3LE5CSBW1E4H4KHW548FL2R" localSheetId="18" hidden="1">#REF!</definedName>
    <definedName name="BExQK3LE5CSBW1E4H4KHW548FL2R" hidden="1">#REF!</definedName>
    <definedName name="BExQKG6LD6PLNDGNGO9DJXY865BR" localSheetId="18" hidden="1">#REF!</definedName>
    <definedName name="BExQKG6LD6PLNDGNGO9DJXY865BR" hidden="1">#REF!</definedName>
    <definedName name="BExQKKDMM6UNMDK33ZZN3QBP6TN6" localSheetId="18" hidden="1">#REF!</definedName>
    <definedName name="BExQKKDMM6UNMDK33ZZN3QBP6TN6" hidden="1">#REF!</definedName>
    <definedName name="BExQKP6ANI278H3LT3CHFIOFPQDR" localSheetId="18" hidden="1">#REF!</definedName>
    <definedName name="BExQKP6ANI278H3LT3CHFIOFPQDR" hidden="1">#REF!</definedName>
    <definedName name="BExQLE1TOW3A287TQB0AVWENT8O1" localSheetId="18" hidden="1">#REF!</definedName>
    <definedName name="BExQLE1TOW3A287TQB0AVWENT8O1" hidden="1">#REF!</definedName>
    <definedName name="BExRYOYB4A3E5F6MTROY69LR0PMG" localSheetId="18" hidden="1">#REF!</definedName>
    <definedName name="BExRYOYB4A3E5F6MTROY69LR0PMG" hidden="1">#REF!</definedName>
    <definedName name="BExRYZLA9EW71H4SXQR525S72LLP" localSheetId="18" hidden="1">#REF!</definedName>
    <definedName name="BExRYZLA9EW71H4SXQR525S72LLP" hidden="1">#REF!</definedName>
    <definedName name="BExRZ66M8G9FQ0VFP077QSZBSOA5" localSheetId="18" hidden="1">#REF!</definedName>
    <definedName name="BExRZ66M8G9FQ0VFP077QSZBSOA5" hidden="1">#REF!</definedName>
    <definedName name="BExRZ8FMQQL46I8AQWU17LRNZD5T" localSheetId="18" hidden="1">#REF!</definedName>
    <definedName name="BExRZ8FMQQL46I8AQWU17LRNZD5T" hidden="1">#REF!</definedName>
    <definedName name="BExRZIRRIXRUMZ5GOO95S7460BMP" localSheetId="18" hidden="1">#REF!</definedName>
    <definedName name="BExRZIRRIXRUMZ5GOO95S7460BMP" hidden="1">#REF!</definedName>
    <definedName name="BExRZK9RAHMM0ZLTNSK7A4LDC42D" localSheetId="18" hidden="1">#REF!</definedName>
    <definedName name="BExRZK9RAHMM0ZLTNSK7A4LDC42D" hidden="1">#REF!</definedName>
    <definedName name="BExRZOGSR69INI6GAEPHDWSNK5Q4" localSheetId="18" hidden="1">#REF!</definedName>
    <definedName name="BExRZOGSR69INI6GAEPHDWSNK5Q4" hidden="1">#REF!</definedName>
    <definedName name="BExS017FU4YOHE3YTW15EQ9ZTN1Y" localSheetId="18" hidden="1">#REF!</definedName>
    <definedName name="BExS017FU4YOHE3YTW15EQ9ZTN1Y" hidden="1">#REF!</definedName>
    <definedName name="BExS0ASQBKRTPDWFK0KUDFOS9LE5" localSheetId="18" hidden="1">#REF!</definedName>
    <definedName name="BExS0ASQBKRTPDWFK0KUDFOS9LE5" hidden="1">#REF!</definedName>
    <definedName name="BExS0GHQUF6YT0RU3TKDEO8CSJYB" localSheetId="18" hidden="1">#REF!</definedName>
    <definedName name="BExS0GHQUF6YT0RU3TKDEO8CSJYB" hidden="1">#REF!</definedName>
    <definedName name="BExS0K8IHC45I78DMZBOJ1P13KQA" localSheetId="18" hidden="1">#REF!</definedName>
    <definedName name="BExS0K8IHC45I78DMZBOJ1P13KQA" hidden="1">#REF!</definedName>
    <definedName name="BExS14X03J9K12GCDNGZI9AZKE9C" localSheetId="18" hidden="1">#REF!</definedName>
    <definedName name="BExS14X03J9K12GCDNGZI9AZKE9C" hidden="1">#REF!</definedName>
    <definedName name="BExS152B2LFCRAUHSLI5T6QRNII0" localSheetId="18" hidden="1">#REF!</definedName>
    <definedName name="BExS152B2LFCRAUHSLI5T6QRNII0" hidden="1">#REF!</definedName>
    <definedName name="BExS15IJV0WW662NXQUVT3FGP4ST" localSheetId="18" hidden="1">#REF!</definedName>
    <definedName name="BExS15IJV0WW662NXQUVT3FGP4ST" hidden="1">#REF!</definedName>
    <definedName name="BExS194110MR25BYJI3CJ2EGZ8XT" localSheetId="18" hidden="1">#REF!</definedName>
    <definedName name="BExS194110MR25BYJI3CJ2EGZ8XT" hidden="1">#REF!</definedName>
    <definedName name="BExS1BNVGNSGD4EP90QL8WXYWZ66" localSheetId="18" hidden="1">#REF!</definedName>
    <definedName name="BExS1BNVGNSGD4EP90QL8WXYWZ66" hidden="1">#REF!</definedName>
    <definedName name="BExS1UE39N6NCND7MAARSBWXS6HU" localSheetId="18" hidden="1">#REF!</definedName>
    <definedName name="BExS1UE39N6NCND7MAARSBWXS6HU" hidden="1">#REF!</definedName>
    <definedName name="BExS226HTWL5WVC76MP5A1IBI8WD" localSheetId="18" hidden="1">#REF!</definedName>
    <definedName name="BExS226HTWL5WVC76MP5A1IBI8WD" hidden="1">#REF!</definedName>
    <definedName name="BExS26OI2QNNAH2WMDD95Z400048" localSheetId="18" hidden="1">#REF!</definedName>
    <definedName name="BExS26OI2QNNAH2WMDD95Z400048" hidden="1">#REF!</definedName>
    <definedName name="BExS2DF6B4ZUF3VZLI4G6LJ3BF38" localSheetId="18" hidden="1">#REF!</definedName>
    <definedName name="BExS2DF6B4ZUF3VZLI4G6LJ3BF38" hidden="1">#REF!</definedName>
    <definedName name="BExS2QB5FS5LYTFYO4BROTWG3OV5" localSheetId="18" hidden="1">#REF!</definedName>
    <definedName name="BExS2QB5FS5LYTFYO4BROTWG3OV5" hidden="1">#REF!</definedName>
    <definedName name="BExS2TLU1HONYV6S3ZD9T12D7CIG" localSheetId="18" hidden="1">#REF!</definedName>
    <definedName name="BExS2TLU1HONYV6S3ZD9T12D7CIG" hidden="1">#REF!</definedName>
    <definedName name="BExS318UV9I2FXPQQWUKKX00QLPJ" localSheetId="18" hidden="1">#REF!</definedName>
    <definedName name="BExS318UV9I2FXPQQWUKKX00QLPJ" hidden="1">#REF!</definedName>
    <definedName name="BExS3KQ6RJB21YELK7Z4KFN2CQPS" localSheetId="18" hidden="1">#REF!</definedName>
    <definedName name="BExS3KQ6RJB21YELK7Z4KFN2CQPS" hidden="1">#REF!</definedName>
    <definedName name="BExS3LBS0SMTHALVM4NRI1BAV1NP" localSheetId="18" hidden="1">#REF!</definedName>
    <definedName name="BExS3LBS0SMTHALVM4NRI1BAV1NP" hidden="1">#REF!</definedName>
    <definedName name="BExS3MTQ75VBXDGEBURP6YT8RROE" localSheetId="18" hidden="1">#REF!</definedName>
    <definedName name="BExS3MTQ75VBXDGEBURP6YT8RROE" hidden="1">#REF!</definedName>
    <definedName name="BExS3OMGYO0DFN5186UFKEXZ2RX3" localSheetId="18" hidden="1">#REF!</definedName>
    <definedName name="BExS3OMGYO0DFN5186UFKEXZ2RX3" hidden="1">#REF!</definedName>
    <definedName name="BExS3PO59RQLS7HO1A6UIPRZX70V" localSheetId="18" hidden="1">#REF!</definedName>
    <definedName name="BExS3PO59RQLS7HO1A6UIPRZX70V" hidden="1">#REF!</definedName>
    <definedName name="BExS3SDERJ27OER67TIGOVZU13A2" localSheetId="18" hidden="1">#REF!</definedName>
    <definedName name="BExS3SDERJ27OER67TIGOVZU13A2" hidden="1">#REF!</definedName>
    <definedName name="BExS46R5WDNU5KL04FKY5LHJUCB8" localSheetId="18" hidden="1">#REF!</definedName>
    <definedName name="BExS46R5WDNU5KL04FKY5LHJUCB8" hidden="1">#REF!</definedName>
    <definedName name="BExS46WMSMYP0MQ9GHLZM5ON641L" localSheetId="18" hidden="1">#REF!</definedName>
    <definedName name="BExS46WMSMYP0MQ9GHLZM5ON641L" hidden="1">#REF!</definedName>
    <definedName name="BExS4ASWKM93XA275AXHYP8AG6SU" localSheetId="18" hidden="1">#REF!</definedName>
    <definedName name="BExS4ASWKM93XA275AXHYP8AG6SU" hidden="1">#REF!</definedName>
    <definedName name="BExS4JN3Y6SVBKILQK0R9HS45Y52" localSheetId="18" hidden="1">#REF!</definedName>
    <definedName name="BExS4JN3Y6SVBKILQK0R9HS45Y52" hidden="1">#REF!</definedName>
    <definedName name="BExS4P6S41O6Z6BED77U3GD9PNH1" localSheetId="18" hidden="1">#REF!</definedName>
    <definedName name="BExS4P6S41O6Z6BED77U3GD9PNH1" hidden="1">#REF!</definedName>
    <definedName name="BExS4WOJWBEF6OH97BLAVUD3TQ7R" localSheetId="18" hidden="1">#REF!</definedName>
    <definedName name="BExS4WOJWBEF6OH97BLAVUD3TQ7R" hidden="1">#REF!</definedName>
    <definedName name="BExS51H0N51UT0FZOPZRCF1GU063" localSheetId="18" hidden="1">#REF!</definedName>
    <definedName name="BExS51H0N51UT0FZOPZRCF1GU063" hidden="1">#REF!</definedName>
    <definedName name="BExS54X72TJFC41FJK72MLRR2OO7" localSheetId="18" hidden="1">#REF!</definedName>
    <definedName name="BExS54X72TJFC41FJK72MLRR2OO7" hidden="1">#REF!</definedName>
    <definedName name="BExS59F0PA1V2ZC7S5TN6IT41SXP" localSheetId="18" hidden="1">#REF!</definedName>
    <definedName name="BExS59F0PA1V2ZC7S5TN6IT41SXP" hidden="1">#REF!</definedName>
    <definedName name="BExS5DRER9US6NXY9ATYT41KZII3" localSheetId="18" hidden="1">#REF!</definedName>
    <definedName name="BExS5DRER9US6NXY9ATYT41KZII3" hidden="1">#REF!</definedName>
    <definedName name="BExS5L3TGB8JVW9ROYWTKYTUPW27" localSheetId="18" hidden="1">#REF!</definedName>
    <definedName name="BExS5L3TGB8JVW9ROYWTKYTUPW27" hidden="1">#REF!</definedName>
    <definedName name="BExS5UP3NQ1QY0PMIO69O2J1JRQX" localSheetId="18" hidden="1">#REF!</definedName>
    <definedName name="BExS5UP3NQ1QY0PMIO69O2J1JRQX" hidden="1">#REF!</definedName>
    <definedName name="BExS64QH0TK7BFMOHTRNM3DTXCZ5" localSheetId="18" hidden="1">'[38]10.08.2 - 2008 Expense'!#REF!</definedName>
    <definedName name="BExS64QH0TK7BFMOHTRNM3DTXCZ5" hidden="1">'[38]10.08.2 - 2008 Expense'!#REF!</definedName>
    <definedName name="BExS668EZXO8KT71OK13TBL2MYVF" localSheetId="18" hidden="1">#REF!</definedName>
    <definedName name="BExS668EZXO8KT71OK13TBL2MYVF" hidden="1">#REF!</definedName>
    <definedName name="BExS6GKQ96EHVLYWNJDWXZXUZW90" localSheetId="18" hidden="1">#REF!</definedName>
    <definedName name="BExS6GKQ96EHVLYWNJDWXZXUZW90" hidden="1">#REF!</definedName>
    <definedName name="BExS6ITKSZFRR01YD5B0F676SYN7" localSheetId="18" hidden="1">#REF!</definedName>
    <definedName name="BExS6ITKSZFRR01YD5B0F676SYN7" hidden="1">#REF!</definedName>
    <definedName name="BExS6M4AG8VGSMFGJXMMJ6YYATZI" localSheetId="18" hidden="1">'[38]10.08.5 - 2008 Capital - TDBU'!#REF!</definedName>
    <definedName name="BExS6M4AG8VGSMFGJXMMJ6YYATZI" hidden="1">'[38]10.08.5 - 2008 Capital - TDBU'!#REF!</definedName>
    <definedName name="BExS6N0LI574IAC89EFW6CLTCQ33" localSheetId="18" hidden="1">#REF!</definedName>
    <definedName name="BExS6N0LI574IAC89EFW6CLTCQ33" hidden="1">#REF!</definedName>
    <definedName name="BExS6WRDBF3ST86ZOBBUL3GTCR11" localSheetId="18" hidden="1">#REF!</definedName>
    <definedName name="BExS6WRDBF3ST86ZOBBUL3GTCR11" hidden="1">#REF!</definedName>
    <definedName name="BExS6XNRKR0C3MTA0LV5B60UB908" localSheetId="18" hidden="1">#REF!</definedName>
    <definedName name="BExS6XNRKR0C3MTA0LV5B60UB908" hidden="1">#REF!</definedName>
    <definedName name="BExS743NAKMEAA4255AJCZWPVQD5" localSheetId="18" hidden="1">#REF!</definedName>
    <definedName name="BExS743NAKMEAA4255AJCZWPVQD5" hidden="1">#REF!</definedName>
    <definedName name="BExS7EQLZPAVX5ZPW27ZJHFHXJWR" localSheetId="18" hidden="1">#REF!</definedName>
    <definedName name="BExS7EQLZPAVX5ZPW27ZJHFHXJWR" hidden="1">#REF!</definedName>
    <definedName name="BExS7J348DNX760P5D4N9N72C1H1" localSheetId="18" hidden="1">#REF!</definedName>
    <definedName name="BExS7J348DNX760P5D4N9N72C1H1" hidden="1">#REF!</definedName>
    <definedName name="BExS7OMMB9XYX3CR9NYR0OI0B6YV" localSheetId="18" hidden="1">#REF!</definedName>
    <definedName name="BExS7OMMB9XYX3CR9NYR0OI0B6YV" hidden="1">#REF!</definedName>
    <definedName name="BExS7TKQYLRZGM93UY3ZJZJBQNFJ" localSheetId="18" hidden="1">#REF!</definedName>
    <definedName name="BExS7TKQYLRZGM93UY3ZJZJBQNFJ" hidden="1">#REF!</definedName>
    <definedName name="BExS7Y2LNGVHSIBKC7C3R6X4LDR6" localSheetId="18" hidden="1">#REF!</definedName>
    <definedName name="BExS7Y2LNGVHSIBKC7C3R6X4LDR6" hidden="1">#REF!</definedName>
    <definedName name="BExS81TE0EY44Y3W2M4Z4MGNP5OM" localSheetId="18" hidden="1">#REF!</definedName>
    <definedName name="BExS81TE0EY44Y3W2M4Z4MGNP5OM" hidden="1">#REF!</definedName>
    <definedName name="BExS81YPDZDVJJVS15HV2HDXAC3Y" localSheetId="18" hidden="1">#REF!</definedName>
    <definedName name="BExS81YPDZDVJJVS15HV2HDXAC3Y" hidden="1">#REF!</definedName>
    <definedName name="BExS82PRVNUTEKQZS56YT2DVF6C2" localSheetId="18" hidden="1">#REF!</definedName>
    <definedName name="BExS82PRVNUTEKQZS56YT2DVF6C2" hidden="1">#REF!</definedName>
    <definedName name="BExS8BPG5A0GR5AO1U951NDGGR0L" localSheetId="18" hidden="1">#REF!</definedName>
    <definedName name="BExS8BPG5A0GR5AO1U951NDGGR0L" hidden="1">#REF!</definedName>
    <definedName name="BExS8GSUS17UY50TEM2AWF36BR9Z" localSheetId="18" hidden="1">#REF!</definedName>
    <definedName name="BExS8GSUS17UY50TEM2AWF36BR9Z" hidden="1">#REF!</definedName>
    <definedName name="BExS8HJRBVG0XI6PWA9KTMJZMQXK" localSheetId="18" hidden="1">#REF!</definedName>
    <definedName name="BExS8HJRBVG0XI6PWA9KTMJZMQXK" hidden="1">#REF!</definedName>
    <definedName name="BExS8PN4E1L5NH0OOKX0SGAV052X" localSheetId="18" hidden="1">#REF!</definedName>
    <definedName name="BExS8PN4E1L5NH0OOKX0SGAV052X" hidden="1">#REF!</definedName>
    <definedName name="BExS8R51C8RM2FS6V6IRTYO9GA4A" localSheetId="18" hidden="1">#REF!</definedName>
    <definedName name="BExS8R51C8RM2FS6V6IRTYO9GA4A" hidden="1">#REF!</definedName>
    <definedName name="BExS8WDX408F60MH1X9B9UZ2H4R7" localSheetId="18" hidden="1">#REF!</definedName>
    <definedName name="BExS8WDX408F60MH1X9B9UZ2H4R7" hidden="1">#REF!</definedName>
    <definedName name="BExS8Z2W2QEC3MH0BZIYLDFQNUIP" localSheetId="18" hidden="1">#REF!</definedName>
    <definedName name="BExS8Z2W2QEC3MH0BZIYLDFQNUIP" hidden="1">#REF!</definedName>
    <definedName name="BExS8Z8DJ9GSBTJQBINLMFIRTKJ2" localSheetId="18" hidden="1">#REF!</definedName>
    <definedName name="BExS8Z8DJ9GSBTJQBINLMFIRTKJ2" hidden="1">#REF!</definedName>
    <definedName name="BExS92DKGRFFCIA9C0IXDOLO57EP" localSheetId="18" hidden="1">#REF!</definedName>
    <definedName name="BExS92DKGRFFCIA9C0IXDOLO57EP" hidden="1">#REF!</definedName>
    <definedName name="BExS95DMT99CLDFYVR0MMS5QFQ4O" localSheetId="18" hidden="1">#REF!</definedName>
    <definedName name="BExS95DMT99CLDFYVR0MMS5QFQ4O" hidden="1">#REF!</definedName>
    <definedName name="BExS98OB4321YCHLCQ022PXKTT2W" localSheetId="18" hidden="1">#REF!</definedName>
    <definedName name="BExS98OB4321YCHLCQ022PXKTT2W" hidden="1">#REF!</definedName>
    <definedName name="BExS9C9N8GFISC6HUERJ0EI06GB2" localSheetId="18" hidden="1">#REF!</definedName>
    <definedName name="BExS9C9N8GFISC6HUERJ0EI06GB2" hidden="1">#REF!</definedName>
    <definedName name="BExS9DX13CACP3J8JDREK30JB1SQ" localSheetId="18" hidden="1">#REF!</definedName>
    <definedName name="BExS9DX13CACP3J8JDREK30JB1SQ" hidden="1">#REF!</definedName>
    <definedName name="BExS9FPRS2KRRCS33SE6WFNF5GYL" localSheetId="18" hidden="1">#REF!</definedName>
    <definedName name="BExS9FPRS2KRRCS33SE6WFNF5GYL" hidden="1">#REF!</definedName>
    <definedName name="BExS9MWR7YEFZL0UO24FU8UDGAXH" localSheetId="18" hidden="1">#REF!</definedName>
    <definedName name="BExS9MWR7YEFZL0UO24FU8UDGAXH" hidden="1">#REF!</definedName>
    <definedName name="BExS9WI0A6PSEB8N9GPXF2Z7MWHM" localSheetId="18" hidden="1">#REF!</definedName>
    <definedName name="BExS9WI0A6PSEB8N9GPXF2Z7MWHM" hidden="1">#REF!</definedName>
    <definedName name="BExSA5HP306TN9XJS0TU619DLRR7" localSheetId="18" hidden="1">#REF!</definedName>
    <definedName name="BExSA5HP306TN9XJS0TU619DLRR7" hidden="1">#REF!</definedName>
    <definedName name="BExSA6U57AKWU3K9W6DLF75569X0" localSheetId="18" hidden="1">#REF!</definedName>
    <definedName name="BExSA6U57AKWU3K9W6DLF75569X0" hidden="1">#REF!</definedName>
    <definedName name="BExSA8HLXG7TQJAREJXZWXCKKLYT" localSheetId="18" hidden="1">#REF!</definedName>
    <definedName name="BExSA8HLXG7TQJAREJXZWXCKKLYT" hidden="1">#REF!</definedName>
    <definedName name="BExSAAVWQOOIA6B3JHQVGP08HFEM" localSheetId="18" hidden="1">#REF!</definedName>
    <definedName name="BExSAAVWQOOIA6B3JHQVGP08HFEM" hidden="1">#REF!</definedName>
    <definedName name="BExSAFJ3IICU2M7QPVE4ARYMXZKX" localSheetId="18" hidden="1">#REF!</definedName>
    <definedName name="BExSAFJ3IICU2M7QPVE4ARYMXZKX" hidden="1">#REF!</definedName>
    <definedName name="BExSAH6ID8OHX379UXVNGFO8J6KQ" localSheetId="18" hidden="1">#REF!</definedName>
    <definedName name="BExSAH6ID8OHX379UXVNGFO8J6KQ" hidden="1">#REF!</definedName>
    <definedName name="BExSAQBHIXGQRNIRGCJMBXUPCZQA" localSheetId="18" hidden="1">#REF!</definedName>
    <definedName name="BExSAQBHIXGQRNIRGCJMBXUPCZQA" hidden="1">#REF!</definedName>
    <definedName name="BExSAUTCT4P7JP57NOR9MTX33QJZ" localSheetId="18" hidden="1">#REF!</definedName>
    <definedName name="BExSAUTCT4P7JP57NOR9MTX33QJZ" hidden="1">#REF!</definedName>
    <definedName name="BExSAY9CA9TFXQ9M9FBJRGJO9T9E" localSheetId="18" hidden="1">#REF!</definedName>
    <definedName name="BExSAY9CA9TFXQ9M9FBJRGJO9T9E" hidden="1">#REF!</definedName>
    <definedName name="BExSB3CYILY5VM7EWWCYC2RHW5GS" localSheetId="18" hidden="1">'[38]10.08.3 - 2008 Expense - TDBU'!#REF!</definedName>
    <definedName name="BExSB3CYILY5VM7EWWCYC2RHW5GS" hidden="1">'[38]10.08.3 - 2008 Expense - TDBU'!#REF!</definedName>
    <definedName name="BExSB4JYKQ3MINI7RAYK5M8BLJDC" localSheetId="18" hidden="1">#REF!</definedName>
    <definedName name="BExSB4JYKQ3MINI7RAYK5M8BLJDC" hidden="1">#REF!</definedName>
    <definedName name="BExSB6NLRVUI2GHH9VI5V6MY8ZL7" localSheetId="18" hidden="1">#REF!</definedName>
    <definedName name="BExSB6NLRVUI2GHH9VI5V6MY8ZL7" hidden="1">#REF!</definedName>
    <definedName name="BExSBMOS41ZRLWYLOU29V6Y7YORR" localSheetId="18" hidden="1">#REF!</definedName>
    <definedName name="BExSBMOS41ZRLWYLOU29V6Y7YORR" hidden="1">#REF!</definedName>
    <definedName name="BExSBRBXXQMBU1TYDW1BXTEVEPRU" localSheetId="18" hidden="1">#REF!</definedName>
    <definedName name="BExSBRBXXQMBU1TYDW1BXTEVEPRU" hidden="1">#REF!</definedName>
    <definedName name="BExSC54998WTZ21DSL0R8UN0Y9JH" localSheetId="18" hidden="1">#REF!</definedName>
    <definedName name="BExSC54998WTZ21DSL0R8UN0Y9JH" hidden="1">#REF!</definedName>
    <definedName name="BExSC60N7WR9PJSNC9B7ORCX9NGY" localSheetId="18" hidden="1">#REF!</definedName>
    <definedName name="BExSC60N7WR9PJSNC9B7ORCX9NGY" hidden="1">#REF!</definedName>
    <definedName name="BExSCE99EZTILTTCE4NJJF96OYYM" localSheetId="18" hidden="1">#REF!</definedName>
    <definedName name="BExSCE99EZTILTTCE4NJJF96OYYM" hidden="1">#REF!</definedName>
    <definedName name="BExSCHUQZ2HFEWS54X67DIS8OSXZ" localSheetId="18" hidden="1">#REF!</definedName>
    <definedName name="BExSCHUQZ2HFEWS54X67DIS8OSXZ" hidden="1">#REF!</definedName>
    <definedName name="BExSCOG41SKKG4GYU76WRWW1CTE6" localSheetId="18" hidden="1">#REF!</definedName>
    <definedName name="BExSCOG41SKKG4GYU76WRWW1CTE6" hidden="1">#REF!</definedName>
    <definedName name="BExSCPN9MLJYMCCD3AD6AGFMBBGA" localSheetId="18" hidden="1">#REF!</definedName>
    <definedName name="BExSCPN9MLJYMCCD3AD6AGFMBBGA" hidden="1">#REF!</definedName>
    <definedName name="BExSCVC9P86YVFMRKKUVRV29MZXZ" localSheetId="18" hidden="1">#REF!</definedName>
    <definedName name="BExSCVC9P86YVFMRKKUVRV29MZXZ" hidden="1">#REF!</definedName>
    <definedName name="BExSD233CH4MU9ZMGNRF97ZV7KWU" localSheetId="18" hidden="1">#REF!</definedName>
    <definedName name="BExSD233CH4MU9ZMGNRF97ZV7KWU" hidden="1">#REF!</definedName>
    <definedName name="BExSD2U0F3BN6IN9N4R2DTTJG15H" localSheetId="18" hidden="1">#REF!</definedName>
    <definedName name="BExSD2U0F3BN6IN9N4R2DTTJG15H" hidden="1">#REF!</definedName>
    <definedName name="BExSD6A6NY15YSMFH51ST6XJY429" localSheetId="18" hidden="1">#REF!</definedName>
    <definedName name="BExSD6A6NY15YSMFH51ST6XJY429" hidden="1">#REF!</definedName>
    <definedName name="BExSD9VH6PF6RQ135VOEE08YXPAW" localSheetId="18" hidden="1">#REF!</definedName>
    <definedName name="BExSD9VH6PF6RQ135VOEE08YXPAW" hidden="1">#REF!</definedName>
    <definedName name="BExSDP5Y04WWMX2WWRITWOX8R5I9" localSheetId="18" hidden="1">#REF!</definedName>
    <definedName name="BExSDP5Y04WWMX2WWRITWOX8R5I9" hidden="1">#REF!</definedName>
    <definedName name="BExSDSB5WUA2A09DZ1ZPZH3J8VFL" localSheetId="18" hidden="1">#REF!</definedName>
    <definedName name="BExSDSB5WUA2A09DZ1ZPZH3J8VFL" hidden="1">#REF!</definedName>
    <definedName name="BExSDSGM203BJTNS9MKCBX453HMD" localSheetId="18" hidden="1">#REF!</definedName>
    <definedName name="BExSDSGM203BJTNS9MKCBX453HMD" hidden="1">#REF!</definedName>
    <definedName name="BExSDT20XUFXTDM37M148AXAP7HN" localSheetId="18" hidden="1">#REF!</definedName>
    <definedName name="BExSDT20XUFXTDM37M148AXAP7HN" hidden="1">#REF!</definedName>
    <definedName name="BExSEEHK1VLWD7JBV9SVVVIKQZ3I" localSheetId="18" hidden="1">#REF!</definedName>
    <definedName name="BExSEEHK1VLWD7JBV9SVVVIKQZ3I" hidden="1">#REF!</definedName>
    <definedName name="BExSEJKZLX37P3V33TRTFJ30BFRK" localSheetId="18" hidden="1">#REF!</definedName>
    <definedName name="BExSEJKZLX37P3V33TRTFJ30BFRK" hidden="1">#REF!</definedName>
    <definedName name="BExSENBSLP026IKXG2AS0SKST99F" localSheetId="18" hidden="1">#REF!</definedName>
    <definedName name="BExSENBSLP026IKXG2AS0SKST99F" hidden="1">#REF!</definedName>
    <definedName name="BExSEP9UVOAI6TMXKNK587PQ3328" localSheetId="18" hidden="1">#REF!</definedName>
    <definedName name="BExSEP9UVOAI6TMXKNK587PQ3328" hidden="1">#REF!</definedName>
    <definedName name="BExSERZ34ETZF8OI93MYIVZX4RDV" localSheetId="18" hidden="1">#REF!</definedName>
    <definedName name="BExSERZ34ETZF8OI93MYIVZX4RDV" hidden="1">#REF!</definedName>
    <definedName name="BExSF07QFLZCO4P6K6QF05XG7PH1" localSheetId="18" hidden="1">#REF!</definedName>
    <definedName name="BExSF07QFLZCO4P6K6QF05XG7PH1" hidden="1">#REF!</definedName>
    <definedName name="BExSF85QVM8XVOYH429ITJC8TA5Q" localSheetId="18" hidden="1">#REF!</definedName>
    <definedName name="BExSF85QVM8XVOYH429ITJC8TA5Q" hidden="1">#REF!</definedName>
    <definedName name="BExSFELNPJYUZX393PKWKNNZYV1N" localSheetId="18" hidden="1">#REF!</definedName>
    <definedName name="BExSFELNPJYUZX393PKWKNNZYV1N" hidden="1">#REF!</definedName>
    <definedName name="BExSFHAQ0VN5PU9GULAPYTQ4HKW8" localSheetId="18" hidden="1">#REF!</definedName>
    <definedName name="BExSFHAQ0VN5PU9GULAPYTQ4HKW8" hidden="1">#REF!</definedName>
    <definedName name="BExSFIY63CMZLHHLQETZ2HFOHW52" localSheetId="18" hidden="1">#REF!</definedName>
    <definedName name="BExSFIY63CMZLHHLQETZ2HFOHW52" hidden="1">#REF!</definedName>
    <definedName name="BExSFJ8ZAGQ63A4MVMZRQWLVRGQ5" localSheetId="18" hidden="1">#REF!</definedName>
    <definedName name="BExSFJ8ZAGQ63A4MVMZRQWLVRGQ5" hidden="1">#REF!</definedName>
    <definedName name="BExSFKQRST2S9KXWWLCXYLKSF4G1" localSheetId="18" hidden="1">#REF!</definedName>
    <definedName name="BExSFKQRST2S9KXWWLCXYLKSF4G1" hidden="1">#REF!</definedName>
    <definedName name="BExSFLHT3DWP12GA4DDKMCK3E4F9" localSheetId="18" hidden="1">'[38]10.08.2 - 2008 Expense'!#REF!</definedName>
    <definedName name="BExSFLHT3DWP12GA4DDKMCK3E4F9" hidden="1">'[38]10.08.2 - 2008 Expense'!#REF!</definedName>
    <definedName name="BExSFYDRRTAZVPXRWUF5PDQ97WFF" localSheetId="18" hidden="1">#REF!</definedName>
    <definedName name="BExSFYDRRTAZVPXRWUF5PDQ97WFF" hidden="1">#REF!</definedName>
    <definedName name="BExSFZVPFTXA3F0IJ2NGH1GXX9R7" localSheetId="18" hidden="1">#REF!</definedName>
    <definedName name="BExSFZVPFTXA3F0IJ2NGH1GXX9R7" hidden="1">#REF!</definedName>
    <definedName name="BExSG90Q4ZUU2IPGDYOM169NJV9S" localSheetId="18" hidden="1">#REF!</definedName>
    <definedName name="BExSG90Q4ZUU2IPGDYOM169NJV9S" hidden="1">#REF!</definedName>
    <definedName name="BExSG9X3DU845PNXYJGGLBQY2UHG" localSheetId="18" hidden="1">#REF!</definedName>
    <definedName name="BExSG9X3DU845PNXYJGGLBQY2UHG" hidden="1">#REF!</definedName>
    <definedName name="BExSGE45J27MDUUNXW7Z8Q33UAON" localSheetId="18" hidden="1">#REF!</definedName>
    <definedName name="BExSGE45J27MDUUNXW7Z8Q33UAON" hidden="1">#REF!</definedName>
    <definedName name="BExSGE9LY91Q0URHB4YAMX0UAMYI" localSheetId="18" hidden="1">#REF!</definedName>
    <definedName name="BExSGE9LY91Q0URHB4YAMX0UAMYI" hidden="1">#REF!</definedName>
    <definedName name="BExSGEPODWLV8HDBVY76N01S70YZ" localSheetId="18" hidden="1">#REF!</definedName>
    <definedName name="BExSGEPODWLV8HDBVY76N01S70YZ" hidden="1">#REF!</definedName>
    <definedName name="BExSGLB2URTLBCKBB4Y885W925F2" localSheetId="18" hidden="1">#REF!</definedName>
    <definedName name="BExSGLB2URTLBCKBB4Y885W925F2" hidden="1">#REF!</definedName>
    <definedName name="BExSGOAYG73SFWOPAQV80P710GID" localSheetId="18" hidden="1">#REF!</definedName>
    <definedName name="BExSGOAYG73SFWOPAQV80P710GID" hidden="1">#REF!</definedName>
    <definedName name="BExSGOWJHRW7FWKLO2EHUOOGHNAF" localSheetId="18" hidden="1">#REF!</definedName>
    <definedName name="BExSGOWJHRW7FWKLO2EHUOOGHNAF" hidden="1">#REF!</definedName>
    <definedName name="BExSGOWJTAP41ZV5Q23H7MI9C76W" localSheetId="18" hidden="1">#REF!</definedName>
    <definedName name="BExSGOWJTAP41ZV5Q23H7MI9C76W" hidden="1">#REF!</definedName>
    <definedName name="BExSGP7BU5UM9A7AOHIGT50GZN74" localSheetId="18" hidden="1">'[38]10.08.2 - 2008 Expense'!#REF!</definedName>
    <definedName name="BExSGP7BU5UM9A7AOHIGT50GZN74" hidden="1">'[38]10.08.2 - 2008 Expense'!#REF!</definedName>
    <definedName name="BExSGR5JQVX2HQ0PKCGZNSSUM1RV" localSheetId="18" hidden="1">#REF!</definedName>
    <definedName name="BExSGR5JQVX2HQ0PKCGZNSSUM1RV" hidden="1">#REF!</definedName>
    <definedName name="BExSGVHX69GJZHD99DKE4RZ042B1" localSheetId="18" hidden="1">#REF!</definedName>
    <definedName name="BExSGVHX69GJZHD99DKE4RZ042B1" hidden="1">#REF!</definedName>
    <definedName name="BExSGZJO4J4ZO04E2N2ECVYS9DEZ" localSheetId="18" hidden="1">#REF!</definedName>
    <definedName name="BExSGZJO4J4ZO04E2N2ECVYS9DEZ" hidden="1">#REF!</definedName>
    <definedName name="BExSHAHFHS7MMNJR8JPVABRGBVIT" localSheetId="18" hidden="1">#REF!</definedName>
    <definedName name="BExSHAHFHS7MMNJR8JPVABRGBVIT" hidden="1">#REF!</definedName>
    <definedName name="BExSHFA0PJ5TS0LF5C5VDPKMSUP8" localSheetId="18" hidden="1">#REF!</definedName>
    <definedName name="BExSHFA0PJ5TS0LF5C5VDPKMSUP8" hidden="1">#REF!</definedName>
    <definedName name="BExSHGH88QZWW4RNAX4YKAZ5JEBL" localSheetId="18" hidden="1">#REF!</definedName>
    <definedName name="BExSHGH88QZWW4RNAX4YKAZ5JEBL" hidden="1">#REF!</definedName>
    <definedName name="BExSHOKK1OO3CX9Z28C58E5J1D9W" localSheetId="18" hidden="1">#REF!</definedName>
    <definedName name="BExSHOKK1OO3CX9Z28C58E5J1D9W" hidden="1">#REF!</definedName>
    <definedName name="BExSHQD8KYLTQGDXIRKCHQQ7MKIH" localSheetId="18" hidden="1">#REF!</definedName>
    <definedName name="BExSHQD8KYLTQGDXIRKCHQQ7MKIH" hidden="1">#REF!</definedName>
    <definedName name="BExSHVGPIAHXI97UBLI9G4I4M29F" localSheetId="18" hidden="1">#REF!</definedName>
    <definedName name="BExSHVGPIAHXI97UBLI9G4I4M29F" hidden="1">#REF!</definedName>
    <definedName name="BExSHVRHZDFJHSWEWWYO8PK8UC27" localSheetId="18" hidden="1">#REF!</definedName>
    <definedName name="BExSHVRHZDFJHSWEWWYO8PK8UC27" hidden="1">#REF!</definedName>
    <definedName name="BExSI0K2YL3HTCQAD8A7TR4QCUR6" localSheetId="18" hidden="1">#REF!</definedName>
    <definedName name="BExSI0K2YL3HTCQAD8A7TR4QCUR6" hidden="1">#REF!</definedName>
    <definedName name="BExSIFUDNRWXWIWNGCCFOOD8WIAZ" localSheetId="18" hidden="1">#REF!</definedName>
    <definedName name="BExSIFUDNRWXWIWNGCCFOOD8WIAZ" hidden="1">#REF!</definedName>
    <definedName name="BExTTWD2PGX3Y9FR5F2MRNLY1DIY" localSheetId="18" hidden="1">#REF!</definedName>
    <definedName name="BExTTWD2PGX3Y9FR5F2MRNLY1DIY" hidden="1">#REF!</definedName>
    <definedName name="BExTTZNS2PBCR93C9IUW49UZ4I6T" localSheetId="18" hidden="1">#REF!</definedName>
    <definedName name="BExTTZNS2PBCR93C9IUW49UZ4I6T" hidden="1">#REF!</definedName>
    <definedName name="BExTU2YFQ25JQ6MEMRHHN66VLTPJ" localSheetId="18" hidden="1">#REF!</definedName>
    <definedName name="BExTU2YFQ25JQ6MEMRHHN66VLTPJ" hidden="1">#REF!</definedName>
    <definedName name="BExTU75IOII1V5O0C9X2VAYYVJUG" localSheetId="18" hidden="1">#REF!</definedName>
    <definedName name="BExTU75IOII1V5O0C9X2VAYYVJUG" hidden="1">#REF!</definedName>
    <definedName name="BExTUA5F7V4LUIIAM17J3A8XF3JE" localSheetId="18" hidden="1">#REF!</definedName>
    <definedName name="BExTUA5F7V4LUIIAM17J3A8XF3JE" hidden="1">#REF!</definedName>
    <definedName name="BExTUJ53ANGZ3H1KDK4CR4Q0OD6P" localSheetId="18" hidden="1">#REF!</definedName>
    <definedName name="BExTUJ53ANGZ3H1KDK4CR4Q0OD6P" hidden="1">#REF!</definedName>
    <definedName name="BExTUKXSZBM7C57G6NGLWGU4WOHY" localSheetId="18" hidden="1">#REF!</definedName>
    <definedName name="BExTUKXSZBM7C57G6NGLWGU4WOHY" hidden="1">#REF!</definedName>
    <definedName name="BExTUSQCFFYZCDNHWHADBC2E1ZP1" localSheetId="18" hidden="1">#REF!</definedName>
    <definedName name="BExTUSQCFFYZCDNHWHADBC2E1ZP1" hidden="1">#REF!</definedName>
    <definedName name="BExTUVFGOJEYS28JURA5KHQFDU5J" localSheetId="18" hidden="1">#REF!</definedName>
    <definedName name="BExTUVFGOJEYS28JURA5KHQFDU5J" hidden="1">#REF!</definedName>
    <definedName name="BExTUW10U40QCYGHM5NJ3YR1O5SP" localSheetId="18" hidden="1">#REF!</definedName>
    <definedName name="BExTUW10U40QCYGHM5NJ3YR1O5SP" hidden="1">#REF!</definedName>
    <definedName name="BExTUWXFQHINU66YG82BI20ATMB5" localSheetId="18" hidden="1">#REF!</definedName>
    <definedName name="BExTUWXFQHINU66YG82BI20ATMB5" hidden="1">#REF!</definedName>
    <definedName name="BExTUY9WNSJ91GV8CP0SKJTEIV82" localSheetId="18" hidden="1">[39]Table!#REF!</definedName>
    <definedName name="BExTUY9WNSJ91GV8CP0SKJTEIV82" hidden="1">[39]Table!#REF!</definedName>
    <definedName name="BExTV67VIM8PV6KO253M4DUBJQLC" localSheetId="18" hidden="1">#REF!</definedName>
    <definedName name="BExTV67VIM8PV6KO253M4DUBJQLC" hidden="1">#REF!</definedName>
    <definedName name="BExTVELZCF2YA5L6F23BYZZR6WHF" localSheetId="18" hidden="1">#REF!</definedName>
    <definedName name="BExTVELZCF2YA5L6F23BYZZR6WHF" hidden="1">#REF!</definedName>
    <definedName name="BExTVGPIQZ99YFXUC8OONUX5BD42" localSheetId="18" hidden="1">#REF!</definedName>
    <definedName name="BExTVGPIQZ99YFXUC8OONUX5BD42" hidden="1">#REF!</definedName>
    <definedName name="BExTVLNG9KX2WVJZRHW6SQVAV80G" localSheetId="18" hidden="1">#REF!</definedName>
    <definedName name="BExTVLNG9KX2WVJZRHW6SQVAV80G" hidden="1">#REF!</definedName>
    <definedName name="BExTVOSUIF74AWLLP1Y2PW2T8R4L" localSheetId="18" hidden="1">#REF!</definedName>
    <definedName name="BExTVOSUIF74AWLLP1Y2PW2T8R4L" hidden="1">#REF!</definedName>
    <definedName name="BExTVYE49EIPTW7ZG5F30RHCYXWI" localSheetId="18" hidden="1">#REF!</definedName>
    <definedName name="BExTVYE49EIPTW7ZG5F30RHCYXWI" hidden="1">#REF!</definedName>
    <definedName name="BExTVZQLP9VFLEYQ9280W13X7E8K" localSheetId="18" hidden="1">#REF!</definedName>
    <definedName name="BExTVZQLP9VFLEYQ9280W13X7E8K" hidden="1">#REF!</definedName>
    <definedName name="BExTW4U1EFP1ZS3Q099D6OFYZ4PO" localSheetId="18" hidden="1">#REF!</definedName>
    <definedName name="BExTW4U1EFP1ZS3Q099D6OFYZ4PO" hidden="1">#REF!</definedName>
    <definedName name="BExTWB4LA1PODQOH4LDTHQKBN16K" localSheetId="18" hidden="1">#REF!</definedName>
    <definedName name="BExTWB4LA1PODQOH4LDTHQKBN16K" hidden="1">#REF!</definedName>
    <definedName name="BExTWEQ3PHIFDCWHG4QVX0626J8L" localSheetId="18" hidden="1">#REF!</definedName>
    <definedName name="BExTWEQ3PHIFDCWHG4QVX0626J8L" hidden="1">#REF!</definedName>
    <definedName name="BExTWFMEUL2NCM0LIAELE18IZ3TQ" localSheetId="18" hidden="1">#REF!</definedName>
    <definedName name="BExTWFMEUL2NCM0LIAELE18IZ3TQ" hidden="1">#REF!</definedName>
    <definedName name="BExTWH9QHMKXVF1R0QG6TJ2154QV" localSheetId="18" hidden="1">#REF!</definedName>
    <definedName name="BExTWH9QHMKXVF1R0QG6TJ2154QV" hidden="1">#REF!</definedName>
    <definedName name="BExTWHVADLJCCNEWMD928MM0SUBX" localSheetId="18" hidden="1">#REF!</definedName>
    <definedName name="BExTWHVADLJCCNEWMD928MM0SUBX" hidden="1">#REF!</definedName>
    <definedName name="BExTWI0Q8AWXUA3ZN7I5V3QK2KM1" localSheetId="18" hidden="1">#REF!</definedName>
    <definedName name="BExTWI0Q8AWXUA3ZN7I5V3QK2KM1" hidden="1">#REF!</definedName>
    <definedName name="BExTWJTIA3WUW1PUWXAOP9O8NKLZ" localSheetId="18" hidden="1">#REF!</definedName>
    <definedName name="BExTWJTIA3WUW1PUWXAOP9O8NKLZ" hidden="1">#REF!</definedName>
    <definedName name="BExTWP7ODVVVOXUAS0T4KNY9E7XN" localSheetId="18" hidden="1">#REF!</definedName>
    <definedName name="BExTWP7ODVVVOXUAS0T4KNY9E7XN" hidden="1">#REF!</definedName>
    <definedName name="BExTWTEREH1W943SZJSXS6AZCXLO" localSheetId="18" hidden="1">#REF!</definedName>
    <definedName name="BExTWTEREH1W943SZJSXS6AZCXLO" hidden="1">#REF!</definedName>
    <definedName name="BExTWW95OX07FNA01WF5MSSSFQLX" localSheetId="18" hidden="1">#REF!</definedName>
    <definedName name="BExTWW95OX07FNA01WF5MSSSFQLX" hidden="1">#REF!</definedName>
    <definedName name="BExTX476KI0RNB71XI5TYMANSGBG" localSheetId="18" hidden="1">#REF!</definedName>
    <definedName name="BExTX476KI0RNB71XI5TYMANSGBG" hidden="1">#REF!</definedName>
    <definedName name="BExTXFQI2GZRV54ZHPCYUHMPUDGG" localSheetId="18" hidden="1">#REF!</definedName>
    <definedName name="BExTXFQI2GZRV54ZHPCYUHMPUDGG" hidden="1">#REF!</definedName>
    <definedName name="BExTXJ6HBAIXMMWKZTJNFDYVZCAY" localSheetId="18" hidden="1">#REF!</definedName>
    <definedName name="BExTXJ6HBAIXMMWKZTJNFDYVZCAY" hidden="1">#REF!</definedName>
    <definedName name="BExTXT812NQT8GAEGH738U29BI0D" localSheetId="18" hidden="1">#REF!</definedName>
    <definedName name="BExTXT812NQT8GAEGH738U29BI0D" hidden="1">#REF!</definedName>
    <definedName name="BExTXWIP2TFPTQ76NHFOB72NICRZ" localSheetId="18" hidden="1">#REF!</definedName>
    <definedName name="BExTXWIP2TFPTQ76NHFOB72NICRZ" hidden="1">#REF!</definedName>
    <definedName name="BExTXZ7U13BQKYC9T78TWXRCE6L6" localSheetId="18" hidden="1">#REF!</definedName>
    <definedName name="BExTXZ7U13BQKYC9T78TWXRCE6L6" hidden="1">#REF!</definedName>
    <definedName name="BExTY5T62H651VC86QM4X7E28JVA" localSheetId="18" hidden="1">#REF!</definedName>
    <definedName name="BExTY5T62H651VC86QM4X7E28JVA" hidden="1">#REF!</definedName>
    <definedName name="BExTYHCJJ2NWRM1RV59FYR41534U" localSheetId="18" hidden="1">#REF!</definedName>
    <definedName name="BExTYHCJJ2NWRM1RV59FYR41534U" hidden="1">#REF!</definedName>
    <definedName name="BExTYKCEFJ83LZM95M1V7CSFQVEA" localSheetId="18" hidden="1">#REF!</definedName>
    <definedName name="BExTYKCEFJ83LZM95M1V7CSFQVEA" hidden="1">#REF!</definedName>
    <definedName name="BExTYL3GR8LX1FWLOOBTAZQOOO7D" localSheetId="18" hidden="1">'[38]10.08.4 -2008 Capital'!#REF!</definedName>
    <definedName name="BExTYL3GR8LX1FWLOOBTAZQOOO7D" hidden="1">'[38]10.08.4 -2008 Capital'!#REF!</definedName>
    <definedName name="BExTYLUCLWGGQOEPH6W91DIYL3RQ" localSheetId="18" hidden="1">#REF!</definedName>
    <definedName name="BExTYLUCLWGGQOEPH6W91DIYL3RQ" hidden="1">#REF!</definedName>
    <definedName name="BExTYOZQGNRDMMFZOG8515WQDGU3" localSheetId="18" hidden="1">'[38]10.08.5 - 2008 Capital - TDBU'!#REF!</definedName>
    <definedName name="BExTYOZQGNRDMMFZOG8515WQDGU3" hidden="1">'[38]10.08.5 - 2008 Capital - TDBU'!#REF!</definedName>
    <definedName name="BExTYPLA9N640MFRJJQPKXT7P88M" localSheetId="18" hidden="1">#REF!</definedName>
    <definedName name="BExTYPLA9N640MFRJJQPKXT7P88M" hidden="1">#REF!</definedName>
    <definedName name="BExTYQMZFH06S0SMRP98OBQF34G8" localSheetId="18" hidden="1">#REF!</definedName>
    <definedName name="BExTYQMZFH06S0SMRP98OBQF34G8" hidden="1">#REF!</definedName>
    <definedName name="BExTZ7F71SNTOX4LLZCK5R9VUMIJ" localSheetId="18" hidden="1">#REF!</definedName>
    <definedName name="BExTZ7F71SNTOX4LLZCK5R9VUMIJ" hidden="1">#REF!</definedName>
    <definedName name="BExTZ8GX3F0K1UBDQ5Y9BYXK1Z6F" localSheetId="18" hidden="1">#REF!</definedName>
    <definedName name="BExTZ8GX3F0K1UBDQ5Y9BYXK1Z6F" hidden="1">#REF!</definedName>
    <definedName name="BExTZ8X5G9S3PA4FPSNK7T69W7QT" localSheetId="18" hidden="1">#REF!</definedName>
    <definedName name="BExTZ8X5G9S3PA4FPSNK7T69W7QT" hidden="1">#REF!</definedName>
    <definedName name="BExTZ97Y0RMR8V5BI9F2H4MFB77O" localSheetId="18" hidden="1">#REF!</definedName>
    <definedName name="BExTZ97Y0RMR8V5BI9F2H4MFB77O" hidden="1">#REF!</definedName>
    <definedName name="BExTZ97YR84DZ8QVX5145UPYSRH1" localSheetId="18" hidden="1">#REF!</definedName>
    <definedName name="BExTZ97YR84DZ8QVX5145UPYSRH1" hidden="1">#REF!</definedName>
    <definedName name="BExTZK5PMCAXJL4DUIGL6H9Y8U4C" localSheetId="18" hidden="1">#REF!</definedName>
    <definedName name="BExTZK5PMCAXJL4DUIGL6H9Y8U4C" hidden="1">#REF!</definedName>
    <definedName name="BExTZKB6L5SXV5UN71YVTCBEIGWY" localSheetId="18" hidden="1">#REF!</definedName>
    <definedName name="BExTZKB6L5SXV5UN71YVTCBEIGWY" hidden="1">#REF!</definedName>
    <definedName name="BExTZLICVKK4NBJFEGL270GJ2VQO" localSheetId="18" hidden="1">#REF!</definedName>
    <definedName name="BExTZLICVKK4NBJFEGL270GJ2VQO" hidden="1">#REF!</definedName>
    <definedName name="BExTZO2596CBZKPI7YNA1QQNPAIJ" localSheetId="18" hidden="1">#REF!</definedName>
    <definedName name="BExTZO2596CBZKPI7YNA1QQNPAIJ" hidden="1">#REF!</definedName>
    <definedName name="BExTZY8TDV4U7FQL7O10G6VKWKPJ" localSheetId="18" hidden="1">#REF!</definedName>
    <definedName name="BExTZY8TDV4U7FQL7O10G6VKWKPJ" hidden="1">#REF!</definedName>
    <definedName name="BExU02QNT4LT7H9JPUC4FXTLVGZT" localSheetId="18" hidden="1">#REF!</definedName>
    <definedName name="BExU02QNT4LT7H9JPUC4FXTLVGZT" hidden="1">#REF!</definedName>
    <definedName name="BExU0BFJJQO1HJZKI14QGOQ6JROO" localSheetId="18" hidden="1">#REF!</definedName>
    <definedName name="BExU0BFJJQO1HJZKI14QGOQ6JROO" hidden="1">#REF!</definedName>
    <definedName name="BExU0BFKP4UL0TQC5B09T8C2BO3W" localSheetId="18" hidden="1">#REF!</definedName>
    <definedName name="BExU0BFKP4UL0TQC5B09T8C2BO3W" hidden="1">#REF!</definedName>
    <definedName name="BExU0CXIZZF3DKCNKF3AHXAPONZC" localSheetId="18" hidden="1">#REF!</definedName>
    <definedName name="BExU0CXIZZF3DKCNKF3AHXAPONZC" hidden="1">#REF!</definedName>
    <definedName name="BExU0FH5WTGW8MRFUFMDDSMJ6YQ5" localSheetId="18" hidden="1">#REF!</definedName>
    <definedName name="BExU0FH5WTGW8MRFUFMDDSMJ6YQ5" hidden="1">#REF!</definedName>
    <definedName name="BExU0GDOIL9U33QGU9ZU3YX3V1I4" localSheetId="18" hidden="1">#REF!</definedName>
    <definedName name="BExU0GDOIL9U33QGU9ZU3YX3V1I4" hidden="1">#REF!</definedName>
    <definedName name="BExU0HKTO8WJDQDWRTUK5TETM3HS" localSheetId="18" hidden="1">#REF!</definedName>
    <definedName name="BExU0HKTO8WJDQDWRTUK5TETM3HS" hidden="1">#REF!</definedName>
    <definedName name="BExU0MTJQPE041ZN7H8UKGV6MZT7" localSheetId="18" hidden="1">#REF!</definedName>
    <definedName name="BExU0MTJQPE041ZN7H8UKGV6MZT7" hidden="1">#REF!</definedName>
    <definedName name="BExU0XB6XCXI4SZ92YEUFMW4TAXF" localSheetId="18" hidden="1">#REF!</definedName>
    <definedName name="BExU0XB6XCXI4SZ92YEUFMW4TAXF" hidden="1">#REF!</definedName>
    <definedName name="BExU0ZUUFYHLUK4M4E8GLGIBBNT0" localSheetId="18" hidden="1">#REF!</definedName>
    <definedName name="BExU0ZUUFYHLUK4M4E8GLGIBBNT0" hidden="1">#REF!</definedName>
    <definedName name="BExU147D6RPG6ZVTSXRKFSVRHSBG" localSheetId="18" hidden="1">#REF!</definedName>
    <definedName name="BExU147D6RPG6ZVTSXRKFSVRHSBG" hidden="1">#REF!</definedName>
    <definedName name="BExU16R10W1SOAPNG4CDJ01T7JRE" localSheetId="18" hidden="1">#REF!</definedName>
    <definedName name="BExU16R10W1SOAPNG4CDJ01T7JRE" hidden="1">#REF!</definedName>
    <definedName name="BExU17CKOR3GNIHDNVLH9L1IOJS9" localSheetId="18" hidden="1">#REF!</definedName>
    <definedName name="BExU17CKOR3GNIHDNVLH9L1IOJS9" hidden="1">#REF!</definedName>
    <definedName name="BExU1DHV15JIOYOXDDJLCPQWUF8Y" localSheetId="18" hidden="1">#REF!</definedName>
    <definedName name="BExU1DHV15JIOYOXDDJLCPQWUF8Y" hidden="1">#REF!</definedName>
    <definedName name="BExU1GXUTLRPJN4MRINLAPHSZQFG" localSheetId="18" hidden="1">#REF!</definedName>
    <definedName name="BExU1GXUTLRPJN4MRINLAPHSZQFG" hidden="1">#REF!</definedName>
    <definedName name="BExU1IL9AOHFO85BZB6S60DK3N8H" localSheetId="18" hidden="1">#REF!</definedName>
    <definedName name="BExU1IL9AOHFO85BZB6S60DK3N8H" hidden="1">#REF!</definedName>
    <definedName name="BExU1NOPS09CLFZL1O31RAF9BQNQ" localSheetId="18" hidden="1">#REF!</definedName>
    <definedName name="BExU1NOPS09CLFZL1O31RAF9BQNQ" hidden="1">#REF!</definedName>
    <definedName name="BExU1P6H60U4RWZFX1HYXV8Z6KI7" localSheetId="18" hidden="1">#REF!</definedName>
    <definedName name="BExU1P6H60U4RWZFX1HYXV8Z6KI7" hidden="1">#REF!</definedName>
    <definedName name="BExU1PH9MOEX1JZVZ3D5M9DXB191" localSheetId="18" hidden="1">#REF!</definedName>
    <definedName name="BExU1PH9MOEX1JZVZ3D5M9DXB191" hidden="1">#REF!</definedName>
    <definedName name="BExU1QZEEKJA35IMEOLOJ3ODX0ZA" localSheetId="18" hidden="1">#REF!</definedName>
    <definedName name="BExU1QZEEKJA35IMEOLOJ3ODX0ZA" hidden="1">#REF!</definedName>
    <definedName name="BExU1VRURIWWVJ95O40WA23LMTJD" localSheetId="18" hidden="1">#REF!</definedName>
    <definedName name="BExU1VRURIWWVJ95O40WA23LMTJD" hidden="1">#REF!</definedName>
    <definedName name="BExU24M8MKBQNO1RXU0IQ2PBN3F1" localSheetId="18" hidden="1">#REF!</definedName>
    <definedName name="BExU24M8MKBQNO1RXU0IQ2PBN3F1" hidden="1">#REF!</definedName>
    <definedName name="BExU2M5CK6XK55UIHDVYRXJJJRI4" localSheetId="18" hidden="1">#REF!</definedName>
    <definedName name="BExU2M5CK6XK55UIHDVYRXJJJRI4" hidden="1">#REF!</definedName>
    <definedName name="BExU2T1JA8VA37QX2DVLJLQAUW7W" localSheetId="18" hidden="1">#REF!</definedName>
    <definedName name="BExU2T1JA8VA37QX2DVLJLQAUW7W" hidden="1">#REF!</definedName>
    <definedName name="BExU2TXVT25ZTOFQAF6CM53Z1RLF" localSheetId="18" hidden="1">#REF!</definedName>
    <definedName name="BExU2TXVT25ZTOFQAF6CM53Z1RLF" hidden="1">#REF!</definedName>
    <definedName name="BExU2XZLYIU19G7358W5T9E87AFR" localSheetId="18" hidden="1">#REF!</definedName>
    <definedName name="BExU2XZLYIU19G7358W5T9E87AFR" hidden="1">#REF!</definedName>
    <definedName name="BExU33OMH5JZ904ICANETZ08X20J" localSheetId="18" hidden="1">#REF!</definedName>
    <definedName name="BExU33OMH5JZ904ICANETZ08X20J" hidden="1">#REF!</definedName>
    <definedName name="BExU3B66MCKJFSKT3HL8B5EJGVX0" localSheetId="18" hidden="1">#REF!</definedName>
    <definedName name="BExU3B66MCKJFSKT3HL8B5EJGVX0" hidden="1">#REF!</definedName>
    <definedName name="BExU3FIQME8CY7AIZPHINOQE8U4S" localSheetId="18" hidden="1">#REF!</definedName>
    <definedName name="BExU3FIQME8CY7AIZPHINOQE8U4S" hidden="1">#REF!</definedName>
    <definedName name="BExU3UNI9NR1RNZR07NSLSZMDOQQ" localSheetId="18" hidden="1">#REF!</definedName>
    <definedName name="BExU3UNI9NR1RNZR07NSLSZMDOQQ" hidden="1">#REF!</definedName>
    <definedName name="BExU401R18N6XKZKL7CNFOZQCM14" localSheetId="18" hidden="1">#REF!</definedName>
    <definedName name="BExU401R18N6XKZKL7CNFOZQCM14" hidden="1">#REF!</definedName>
    <definedName name="BExU42QVGY7TK39W1BIN6CDRG2OE" localSheetId="18" hidden="1">#REF!</definedName>
    <definedName name="BExU42QVGY7TK39W1BIN6CDRG2OE" hidden="1">#REF!</definedName>
    <definedName name="BExU44P2AEX6PD8VC4ISCROUCQSP" localSheetId="18" hidden="1">#REF!</definedName>
    <definedName name="BExU44P2AEX6PD8VC4ISCROUCQSP" hidden="1">#REF!</definedName>
    <definedName name="BExU47OZMS6TCWMEHHF0UCSFLLPI" localSheetId="18" hidden="1">#REF!</definedName>
    <definedName name="BExU47OZMS6TCWMEHHF0UCSFLLPI" hidden="1">#REF!</definedName>
    <definedName name="BExU4D36E8TXN0M8KSNGEAFYP4DQ" localSheetId="18" hidden="1">#REF!</definedName>
    <definedName name="BExU4D36E8TXN0M8KSNGEAFYP4DQ" hidden="1">#REF!</definedName>
    <definedName name="BExU4G31RRVLJ3AC6E1FNEFMXM3O" localSheetId="18" hidden="1">#REF!</definedName>
    <definedName name="BExU4G31RRVLJ3AC6E1FNEFMXM3O" hidden="1">#REF!</definedName>
    <definedName name="BExU4GDVLPUEWBA4MRYRTQAUNO7B" localSheetId="18" hidden="1">#REF!</definedName>
    <definedName name="BExU4GDVLPUEWBA4MRYRTQAUNO7B" hidden="1">#REF!</definedName>
    <definedName name="BExU4H4QVOMTUDXRKDNWMMIRSYHD" localSheetId="18" hidden="1">'[38]10.08.2 - 2008 Expense'!#REF!</definedName>
    <definedName name="BExU4H4QVOMTUDXRKDNWMMIRSYHD" hidden="1">'[38]10.08.2 - 2008 Expense'!#REF!</definedName>
    <definedName name="BExU4I148DA7PRCCISLWQ6ABXFK6" localSheetId="18" hidden="1">#REF!</definedName>
    <definedName name="BExU4I148DA7PRCCISLWQ6ABXFK6" hidden="1">#REF!</definedName>
    <definedName name="BExU4L101H2KQHVKCKQ4PBAWZV6K" localSheetId="18" hidden="1">#REF!</definedName>
    <definedName name="BExU4L101H2KQHVKCKQ4PBAWZV6K" hidden="1">#REF!</definedName>
    <definedName name="BExU4NA00RRRBGRT6TOB0MXZRCRZ" localSheetId="18" hidden="1">#REF!</definedName>
    <definedName name="BExU4NA00RRRBGRT6TOB0MXZRCRZ" hidden="1">#REF!</definedName>
    <definedName name="BExU51IFNZXPBDES28457LR8X60M" localSheetId="18" hidden="1">#REF!</definedName>
    <definedName name="BExU51IFNZXPBDES28457LR8X60M" hidden="1">#REF!</definedName>
    <definedName name="BExU529I6YHVOG83TJHWSILIQU1S" localSheetId="18" hidden="1">#REF!</definedName>
    <definedName name="BExU529I6YHVOG83TJHWSILIQU1S" hidden="1">#REF!</definedName>
    <definedName name="BExU57YCIKPRD8QWL6EU0YR3NG3J" localSheetId="18" hidden="1">#REF!</definedName>
    <definedName name="BExU57YCIKPRD8QWL6EU0YR3NG3J" hidden="1">#REF!</definedName>
    <definedName name="BExU5DSTBWXLN6E59B757KRWRI6E" localSheetId="18" hidden="1">#REF!</definedName>
    <definedName name="BExU5DSTBWXLN6E59B757KRWRI6E" hidden="1">#REF!</definedName>
    <definedName name="BExU5TDWM8NNDHYPQ7OQODTQ368A" localSheetId="18" hidden="1">#REF!</definedName>
    <definedName name="BExU5TDWM8NNDHYPQ7OQODTQ368A" hidden="1">#REF!</definedName>
    <definedName name="BExU5UQD0ZEWKNYDL4KL8VFIMNVH" localSheetId="18" hidden="1">#REF!</definedName>
    <definedName name="BExU5UQD0ZEWKNYDL4KL8VFIMNVH" hidden="1">#REF!</definedName>
    <definedName name="BExU5X4OX1V1XHS6WSSORVQPP6Z3" localSheetId="18" hidden="1">#REF!</definedName>
    <definedName name="BExU5X4OX1V1XHS6WSSORVQPP6Z3" hidden="1">#REF!</definedName>
    <definedName name="BExU5XVPARTFMRYHNUTBKDIL4UJN" localSheetId="18" hidden="1">#REF!</definedName>
    <definedName name="BExU5XVPARTFMRYHNUTBKDIL4UJN" hidden="1">#REF!</definedName>
    <definedName name="BExU66KMFBAP8JCVG9VM1RD1TNFF" localSheetId="18" hidden="1">#REF!</definedName>
    <definedName name="BExU66KMFBAP8JCVG9VM1RD1TNFF" hidden="1">#REF!</definedName>
    <definedName name="BExU68IOM3CB3TACNAE9565TW7SH" localSheetId="18" hidden="1">#REF!</definedName>
    <definedName name="BExU68IOM3CB3TACNAE9565TW7SH" hidden="1">#REF!</definedName>
    <definedName name="BExU6AM82KN21E82HMWVP3LWP9IL" localSheetId="18" hidden="1">#REF!</definedName>
    <definedName name="BExU6AM82KN21E82HMWVP3LWP9IL" hidden="1">#REF!</definedName>
    <definedName name="BExU6FEU1MRHU98R9YOJC5OKUJ6L" localSheetId="18" hidden="1">#REF!</definedName>
    <definedName name="BExU6FEU1MRHU98R9YOJC5OKUJ6L" hidden="1">#REF!</definedName>
    <definedName name="BExU6KIAJ663Y8W8QMU4HCF183DF" localSheetId="18" hidden="1">#REF!</definedName>
    <definedName name="BExU6KIAJ663Y8W8QMU4HCF183DF" hidden="1">#REF!</definedName>
    <definedName name="BExU6KT19B4PG6SHXFBGBPLM66KT" localSheetId="18" hidden="1">#REF!</definedName>
    <definedName name="BExU6KT19B4PG6SHXFBGBPLM66KT" hidden="1">#REF!</definedName>
    <definedName name="BExU6PAVKIOAIMQ9XQIHHF1SUAGO" localSheetId="18" hidden="1">#REF!</definedName>
    <definedName name="BExU6PAVKIOAIMQ9XQIHHF1SUAGO" hidden="1">#REF!</definedName>
    <definedName name="BExU6WXXC7SSQDMHSLUN5C2V4IYX" localSheetId="18" hidden="1">#REF!</definedName>
    <definedName name="BExU6WXXC7SSQDMHSLUN5C2V4IYX" hidden="1">#REF!</definedName>
    <definedName name="BExU73387E74XE8A9UKZLZNJYY65" localSheetId="18" hidden="1">#REF!</definedName>
    <definedName name="BExU73387E74XE8A9UKZLZNJYY65" hidden="1">#REF!</definedName>
    <definedName name="BExU76ZHCJM8I7VSICCMSTC33O6U" localSheetId="18" hidden="1">#REF!</definedName>
    <definedName name="BExU76ZHCJM8I7VSICCMSTC33O6U" hidden="1">#REF!</definedName>
    <definedName name="BExU7BBTUF8BQ42DSGM94X5TG5GF" localSheetId="18" hidden="1">#REF!</definedName>
    <definedName name="BExU7BBTUF8BQ42DSGM94X5TG5GF" hidden="1">#REF!</definedName>
    <definedName name="BExU7HH4EAHFQHT4AXKGWAWZP3I0" localSheetId="18" hidden="1">#REF!</definedName>
    <definedName name="BExU7HH4EAHFQHT4AXKGWAWZP3I0" hidden="1">#REF!</definedName>
    <definedName name="BExU7MF1ZVPDHOSMCAXOSYICHZ4I" localSheetId="18" hidden="1">#REF!</definedName>
    <definedName name="BExU7MF1ZVPDHOSMCAXOSYICHZ4I" hidden="1">#REF!</definedName>
    <definedName name="BExU7O2BJ6D5YCKEL6FD2EFCWYRX" localSheetId="18" hidden="1">#REF!</definedName>
    <definedName name="BExU7O2BJ6D5YCKEL6FD2EFCWYRX" hidden="1">#REF!</definedName>
    <definedName name="BExU7PKGGTU90XX4CKU6M5W0HTLN" localSheetId="18" hidden="1">#REF!</definedName>
    <definedName name="BExU7PKGGTU90XX4CKU6M5W0HTLN" hidden="1">#REF!</definedName>
    <definedName name="BExU7Q0JS9YIUKUPNSSAIDK2KJAV" localSheetId="18" hidden="1">#REF!</definedName>
    <definedName name="BExU7Q0JS9YIUKUPNSSAIDK2KJAV" hidden="1">#REF!</definedName>
    <definedName name="BExU7XNR6I6O94DKRLHQ1FWJ64S0" localSheetId="18" hidden="1">#REF!</definedName>
    <definedName name="BExU7XNR6I6O94DKRLHQ1FWJ64S0" hidden="1">#REF!</definedName>
    <definedName name="BExU80I6AE5OU7P7F5V7HWIZBJ4P" localSheetId="18" hidden="1">#REF!</definedName>
    <definedName name="BExU80I6AE5OU7P7F5V7HWIZBJ4P" hidden="1">#REF!</definedName>
    <definedName name="BExU86NB26MCPYIISZ36HADONGT2" localSheetId="18" hidden="1">#REF!</definedName>
    <definedName name="BExU86NB26MCPYIISZ36HADONGT2" hidden="1">#REF!</definedName>
    <definedName name="BExU885EZZNSZV3GP298UJ8LB7OL" localSheetId="18" hidden="1">#REF!</definedName>
    <definedName name="BExU885EZZNSZV3GP298UJ8LB7OL" hidden="1">#REF!</definedName>
    <definedName name="BExU8DZPVHN9IPBJG5ASDBCHVV6F" localSheetId="18" hidden="1">#REF!</definedName>
    <definedName name="BExU8DZPVHN9IPBJG5ASDBCHVV6F" hidden="1">#REF!</definedName>
    <definedName name="BExU8FSAUP9TUZ1NO9WXK80QPHWV" localSheetId="18" hidden="1">#REF!</definedName>
    <definedName name="BExU8FSAUP9TUZ1NO9WXK80QPHWV" hidden="1">#REF!</definedName>
    <definedName name="BExU8GOTU4Q7I3BF5S1PKOPIPIP8" localSheetId="18" hidden="1">#REF!</definedName>
    <definedName name="BExU8GOTU4Q7I3BF5S1PKOPIPIP8" hidden="1">#REF!</definedName>
    <definedName name="BExU8KFLAN778MBN93NYZB0FV30G" localSheetId="18" hidden="1">#REF!</definedName>
    <definedName name="BExU8KFLAN778MBN93NYZB0FV30G" hidden="1">#REF!</definedName>
    <definedName name="BExU8MDV8JYF9JHWAW4N09DMLGH5" localSheetId="18" hidden="1">#REF!</definedName>
    <definedName name="BExU8MDV8JYF9JHWAW4N09DMLGH5" hidden="1">#REF!</definedName>
    <definedName name="BExU8R0Z2JP4BSAIMCN5VNQZSAQV" localSheetId="18" hidden="1">#REF!</definedName>
    <definedName name="BExU8R0Z2JP4BSAIMCN5VNQZSAQV" hidden="1">#REF!</definedName>
    <definedName name="BExU8SO8VG1NKAASDL1AWU8VYF7J" localSheetId="18" hidden="1">#REF!</definedName>
    <definedName name="BExU8SO8VG1NKAASDL1AWU8VYF7J" hidden="1">#REF!</definedName>
    <definedName name="BExU8UX9JX3XLB47YZ8GFXE0V7R2" localSheetId="18" hidden="1">#REF!</definedName>
    <definedName name="BExU8UX9JX3XLB47YZ8GFXE0V7R2" hidden="1">#REF!</definedName>
    <definedName name="BExU91DC3DGKPZD6LTER2IRTF89C" localSheetId="18" hidden="1">#REF!</definedName>
    <definedName name="BExU91DC3DGKPZD6LTER2IRTF89C" hidden="1">#REF!</definedName>
    <definedName name="BExU91TEHJ9BOPW2I0PGCMVB2LIN" localSheetId="18" hidden="1">#REF!</definedName>
    <definedName name="BExU91TEHJ9BOPW2I0PGCMVB2LIN" hidden="1">#REF!</definedName>
    <definedName name="BExU935WUOV28D64L2EAFTLHA8XK" localSheetId="18" hidden="1">'[38]10.08.5 - 2008 Capital - TDBU'!#REF!</definedName>
    <definedName name="BExU935WUOV28D64L2EAFTLHA8XK" hidden="1">'[38]10.08.5 - 2008 Capital - TDBU'!#REF!</definedName>
    <definedName name="BExU96M1J7P9DZQ3S9H0C12KGYTW" localSheetId="18" hidden="1">#REF!</definedName>
    <definedName name="BExU96M1J7P9DZQ3S9H0C12KGYTW" hidden="1">#REF!</definedName>
    <definedName name="BExU9F05OR1GZ3057R6UL3WPEIYI" localSheetId="18" hidden="1">#REF!</definedName>
    <definedName name="BExU9F05OR1GZ3057R6UL3WPEIYI" hidden="1">#REF!</definedName>
    <definedName name="BExU9GCSO5YILIKG6VAHN13DL75K" localSheetId="18" hidden="1">#REF!</definedName>
    <definedName name="BExU9GCSO5YILIKG6VAHN13DL75K" hidden="1">#REF!</definedName>
    <definedName name="BExU9KJOZLO15N11MJVN782NFGJ0" localSheetId="18" hidden="1">#REF!</definedName>
    <definedName name="BExU9KJOZLO15N11MJVN782NFGJ0" hidden="1">#REF!</definedName>
    <definedName name="BExU9KUGSKLYR8ZI3DN6F833CK8A" localSheetId="18" hidden="1">#REF!</definedName>
    <definedName name="BExU9KUGSKLYR8ZI3DN6F833CK8A" hidden="1">#REF!</definedName>
    <definedName name="BExU9LG29XU2K1GNKRO4438JYQZE" localSheetId="18" hidden="1">#REF!</definedName>
    <definedName name="BExU9LG29XU2K1GNKRO4438JYQZE" hidden="1">#REF!</definedName>
    <definedName name="BExU9MHVU4RJY03HU20S53C4BQTJ" localSheetId="18" hidden="1">#REF!</definedName>
    <definedName name="BExU9MHVU4RJY03HU20S53C4BQTJ" hidden="1">#REF!</definedName>
    <definedName name="BExU9RW36I5Z6JIXUIUB3PJH86LT" localSheetId="18" hidden="1">#REF!</definedName>
    <definedName name="BExU9RW36I5Z6JIXUIUB3PJH86LT" hidden="1">#REF!</definedName>
    <definedName name="BExUA28AO7OWDG3H23Q0CL4B7BHW" localSheetId="18" hidden="1">#REF!</definedName>
    <definedName name="BExUA28AO7OWDG3H23Q0CL4B7BHW" hidden="1">#REF!</definedName>
    <definedName name="BExUA5O923FFNEBY8BPO1TU3QGBM" localSheetId="18" hidden="1">#REF!</definedName>
    <definedName name="BExUA5O923FFNEBY8BPO1TU3QGBM" hidden="1">#REF!</definedName>
    <definedName name="BExUA6Q4K25VH452AQ3ZIRBCMS61" localSheetId="18" hidden="1">#REF!</definedName>
    <definedName name="BExUA6Q4K25VH452AQ3ZIRBCMS61" hidden="1">#REF!</definedName>
    <definedName name="BExUA7MHC1RAILNC8XURIB3WHXK3" localSheetId="18" hidden="1">#REF!</definedName>
    <definedName name="BExUA7MHC1RAILNC8XURIB3WHXK3" hidden="1">#REF!</definedName>
    <definedName name="BExUAABKIIVOK3JUILTKGJVUPEQK" localSheetId="18" hidden="1">#REF!</definedName>
    <definedName name="BExUAABKIIVOK3JUILTKGJVUPEQK" hidden="1">#REF!</definedName>
    <definedName name="BExUAAH2D4VGVRIQGPJB00O9MFGA" localSheetId="18" hidden="1">#REF!</definedName>
    <definedName name="BExUAAH2D4VGVRIQGPJB00O9MFGA" hidden="1">#REF!</definedName>
    <definedName name="BExUABTJG7CHXQDBVDEEMHSVE1YY" localSheetId="18" hidden="1">'[38]10.08.5 - 2008 Capital - TDBU'!#REF!</definedName>
    <definedName name="BExUABTJG7CHXQDBVDEEMHSVE1YY" hidden="1">'[38]10.08.5 - 2008 Capital - TDBU'!#REF!</definedName>
    <definedName name="BExUAE7VUMCVDFX37BD0AFOQDTE3" localSheetId="18" hidden="1">#REF!</definedName>
    <definedName name="BExUAE7VUMCVDFX37BD0AFOQDTE3" hidden="1">#REF!</definedName>
    <definedName name="BExUAFV4JMBSM2SKBQL9NHL0NIBS" localSheetId="18" hidden="1">#REF!</definedName>
    <definedName name="BExUAFV4JMBSM2SKBQL9NHL0NIBS" hidden="1">#REF!</definedName>
    <definedName name="BExUAMWQODKBXMRH1QCMJLJBF8M7" localSheetId="18" hidden="1">#REF!</definedName>
    <definedName name="BExUAMWQODKBXMRH1QCMJLJBF8M7" hidden="1">#REF!</definedName>
    <definedName name="BExUAQYCACRL8UX675MZ2A0135PW" localSheetId="18" hidden="1">#REF!</definedName>
    <definedName name="BExUAQYCACRL8UX675MZ2A0135PW" hidden="1">#REF!</definedName>
    <definedName name="BExUAT7C2EA99VHS9U7OALH9YLZN" localSheetId="18" hidden="1">#REF!</definedName>
    <definedName name="BExUAT7C2EA99VHS9U7OALH9YLZN" hidden="1">#REF!</definedName>
    <definedName name="BExUAVAV8UKWKQ0K62SFQWUFUOTU" localSheetId="18" hidden="1">#REF!</definedName>
    <definedName name="BExUAVAV8UKWKQ0K62SFQWUFUOTU" hidden="1">#REF!</definedName>
    <definedName name="BExUAX8WS5OPVLCDXRGKTU2QMTFO" localSheetId="18" hidden="1">#REF!</definedName>
    <definedName name="BExUAX8WS5OPVLCDXRGKTU2QMTFO" hidden="1">#REF!</definedName>
    <definedName name="BExUB8HLEXSBVPZ5AXNQEK96F1N4" localSheetId="18" hidden="1">#REF!</definedName>
    <definedName name="BExUB8HLEXSBVPZ5AXNQEK96F1N4" hidden="1">#REF!</definedName>
    <definedName name="BExUB9U3LH9RE0L0C9VDXHG4Z0CT" localSheetId="18" hidden="1">#REF!</definedName>
    <definedName name="BExUB9U3LH9RE0L0C9VDXHG4Z0CT" hidden="1">#REF!</definedName>
    <definedName name="BExUBCDVZIEA7YT0LPSMHL5ZSERQ" localSheetId="18" hidden="1">#REF!</definedName>
    <definedName name="BExUBCDVZIEA7YT0LPSMHL5ZSERQ" hidden="1">#REF!</definedName>
    <definedName name="BExUBKXBUCN760QYU7Q8GESBWOQH" localSheetId="18" hidden="1">#REF!</definedName>
    <definedName name="BExUBKXBUCN760QYU7Q8GESBWOQH" hidden="1">#REF!</definedName>
    <definedName name="BExUBL83ED0P076RN9RJ8P1MZ299" localSheetId="18" hidden="1">#REF!</definedName>
    <definedName name="BExUBL83ED0P076RN9RJ8P1MZ299" hidden="1">#REF!</definedName>
    <definedName name="BExUBS9LHCDLBL7S3ZNT91B3T5I9" localSheetId="18" hidden="1">#REF!</definedName>
    <definedName name="BExUBS9LHCDLBL7S3ZNT91B3T5I9" hidden="1">#REF!</definedName>
    <definedName name="BExUBZB72GX583YHAMJJC3QGV1EZ" localSheetId="18" hidden="1">#REF!</definedName>
    <definedName name="BExUBZB72GX583YHAMJJC3QGV1EZ" hidden="1">#REF!</definedName>
    <definedName name="BExUC4EMUM9S63KSY0LLQUAGWJ1A" localSheetId="18" hidden="1">#REF!</definedName>
    <definedName name="BExUC4EMUM9S63KSY0LLQUAGWJ1A" hidden="1">#REF!</definedName>
    <definedName name="BExUC623BDYEODBN0N4DO6PJQ7NU" localSheetId="18" hidden="1">#REF!</definedName>
    <definedName name="BExUC623BDYEODBN0N4DO6PJQ7NU" hidden="1">#REF!</definedName>
    <definedName name="BExUC8WH8TCKBB5313JGYYQ1WFLT" localSheetId="18" hidden="1">#REF!</definedName>
    <definedName name="BExUC8WH8TCKBB5313JGYYQ1WFLT" hidden="1">#REF!</definedName>
    <definedName name="BExUCFCDK6SPH86I6STXX8X3WMC4" localSheetId="18" hidden="1">#REF!</definedName>
    <definedName name="BExUCFCDK6SPH86I6STXX8X3WMC4" hidden="1">#REF!</definedName>
    <definedName name="BExUCI1NZNPIHC2T0GUIENNZVCNG" localSheetId="18" hidden="1">#REF!</definedName>
    <definedName name="BExUCI1NZNPIHC2T0GUIENNZVCNG" hidden="1">#REF!</definedName>
    <definedName name="BExUCLC6AQ5KR6LXSAXV4QQ8ASVG" localSheetId="18" hidden="1">#REF!</definedName>
    <definedName name="BExUCLC6AQ5KR6LXSAXV4QQ8ASVG" hidden="1">#REF!</definedName>
    <definedName name="BExUCPOPUZEN1BYI6PPSAUKQPXP4" localSheetId="18" hidden="1">#REF!</definedName>
    <definedName name="BExUCPOPUZEN1BYI6PPSAUKQPXP4" hidden="1">#REF!</definedName>
    <definedName name="BExUCQL36TCLIPO8DEYYYFQLM20S" localSheetId="18" hidden="1">#REF!</definedName>
    <definedName name="BExUCQL36TCLIPO8DEYYYFQLM20S" hidden="1">#REF!</definedName>
    <definedName name="BExUD4IOJ12X3PJG5WXNNGDRCKAP" localSheetId="18" hidden="1">#REF!</definedName>
    <definedName name="BExUD4IOJ12X3PJG5WXNNGDRCKAP" hidden="1">#REF!</definedName>
    <definedName name="BExUD77TM7LZ8CRP774MLVLQMHJF" localSheetId="18" hidden="1">#REF!</definedName>
    <definedName name="BExUD77TM7LZ8CRP774MLVLQMHJF" hidden="1">#REF!</definedName>
    <definedName name="BExUD9WX9BWK72UWVSLYZJLAY5VY" localSheetId="18" hidden="1">#REF!</definedName>
    <definedName name="BExUD9WX9BWK72UWVSLYZJLAY5VY" hidden="1">#REF!</definedName>
    <definedName name="BExUDBEUJH9IACZDBL1VAUWPG0QW" localSheetId="18" hidden="1">#REF!</definedName>
    <definedName name="BExUDBEUJH9IACZDBL1VAUWPG0QW" hidden="1">#REF!</definedName>
    <definedName name="BExUDEV0CYVO7Y5IQQBEJ6FUY9S6" localSheetId="18" hidden="1">#REF!</definedName>
    <definedName name="BExUDEV0CYVO7Y5IQQBEJ6FUY9S6" hidden="1">#REF!</definedName>
    <definedName name="BExUDWOXQGIZW0EAIIYLQUPXF8YV" localSheetId="18" hidden="1">#REF!</definedName>
    <definedName name="BExUDWOXQGIZW0EAIIYLQUPXF8YV" hidden="1">#REF!</definedName>
    <definedName name="BExUDXAIC17W1FUU8Z10XUAVB7CS" localSheetId="18" hidden="1">#REF!</definedName>
    <definedName name="BExUDXAIC17W1FUU8Z10XUAVB7CS" hidden="1">#REF!</definedName>
    <definedName name="BExUE5OMY7OAJQ9WR8C8HG311ORP" localSheetId="18" hidden="1">#REF!</definedName>
    <definedName name="BExUE5OMY7OAJQ9WR8C8HG311ORP" hidden="1">#REF!</definedName>
    <definedName name="BExUEBZ76MLA94L1R8NG6162LJJC" localSheetId="18" hidden="1">#REF!</definedName>
    <definedName name="BExUEBZ76MLA94L1R8NG6162LJJC" hidden="1">#REF!</definedName>
    <definedName name="BExUEFKOQWXXGRNLAOJV2BJ66UB8" localSheetId="18" hidden="1">#REF!</definedName>
    <definedName name="BExUEFKOQWXXGRNLAOJV2BJ66UB8" hidden="1">#REF!</definedName>
    <definedName name="BExUEJGX3OQQP5KFRJSRCZ70EI9V" localSheetId="18" hidden="1">#REF!</definedName>
    <definedName name="BExUEJGX3OQQP5KFRJSRCZ70EI9V" hidden="1">#REF!</definedName>
    <definedName name="BExUEYR71COFS2X8PDNU21IPMQEU" localSheetId="18" hidden="1">#REF!</definedName>
    <definedName name="BExUEYR71COFS2X8PDNU21IPMQEU" hidden="1">#REF!</definedName>
    <definedName name="BExVPRLJ9I6RX45EDVFSQGCPJSOK" localSheetId="18" hidden="1">#REF!</definedName>
    <definedName name="BExVPRLJ9I6RX45EDVFSQGCPJSOK" hidden="1">#REF!</definedName>
    <definedName name="BExVRQXGAYDXW65J1WQ66FUBU3MG" localSheetId="18" hidden="1">#REF!</definedName>
    <definedName name="BExVRQXGAYDXW65J1WQ66FUBU3MG" hidden="1">#REF!</definedName>
    <definedName name="BExVRT0Z04GVD2DWPCG83NW0VCB8" localSheetId="18" hidden="1">#REF!</definedName>
    <definedName name="BExVRT0Z04GVD2DWPCG83NW0VCB8" hidden="1">#REF!</definedName>
    <definedName name="BExVS6TC2D1M7WMNFJPY1Q5XO46F" localSheetId="18" hidden="1">#REF!</definedName>
    <definedName name="BExVS6TC2D1M7WMNFJPY1Q5XO46F" hidden="1">#REF!</definedName>
    <definedName name="BExVSL787C8E4HFQZ2NVLT35I2XV" localSheetId="18" hidden="1">#REF!</definedName>
    <definedName name="BExVSL787C8E4HFQZ2NVLT35I2XV" hidden="1">#REF!</definedName>
    <definedName name="BExVSP8QTS4AC4LXZ1NVOUOFOBPH" localSheetId="18" hidden="1">#REF!</definedName>
    <definedName name="BExVSP8QTS4AC4LXZ1NVOUOFOBPH" hidden="1">#REF!</definedName>
    <definedName name="BExVSTFTVV14SFGHQUOJL5SQ5TX9" localSheetId="18" hidden="1">#REF!</definedName>
    <definedName name="BExVSTFTVV14SFGHQUOJL5SQ5TX9" hidden="1">#REF!</definedName>
    <definedName name="BExVT3MPE8LQ5JFN3HQIFKSQ80U4" localSheetId="18" hidden="1">#REF!</definedName>
    <definedName name="BExVT3MPE8LQ5JFN3HQIFKSQ80U4" hidden="1">#REF!</definedName>
    <definedName name="BExVT7TRK3NZHPME2TFBXOF1WBR9" localSheetId="18" hidden="1">#REF!</definedName>
    <definedName name="BExVT7TRK3NZHPME2TFBXOF1WBR9" hidden="1">#REF!</definedName>
    <definedName name="BExVT9H0R0T7WGQAAC0HABMG54YM" localSheetId="18" hidden="1">#REF!</definedName>
    <definedName name="BExVT9H0R0T7WGQAAC0HABMG54YM" hidden="1">#REF!</definedName>
    <definedName name="BExVTCMDDEDGLUIMUU6BSFHEWTOP" localSheetId="18" hidden="1">#REF!</definedName>
    <definedName name="BExVTCMDDEDGLUIMUU6BSFHEWTOP" hidden="1">#REF!</definedName>
    <definedName name="BExVTCMDQMLKRA2NQR72XU6Y54IK" localSheetId="18" hidden="1">#REF!</definedName>
    <definedName name="BExVTCMDQMLKRA2NQR72XU6Y54IK" hidden="1">#REF!</definedName>
    <definedName name="BExVTCRV8FQ5U9OYWWL44N6KFNHU" localSheetId="18" hidden="1">#REF!</definedName>
    <definedName name="BExVTCRV8FQ5U9OYWWL44N6KFNHU" hidden="1">#REF!</definedName>
    <definedName name="BExVTNESHPVG0A0KZ7BRX26MS0PF" localSheetId="18" hidden="1">#REF!</definedName>
    <definedName name="BExVTNESHPVG0A0KZ7BRX26MS0PF" hidden="1">#REF!</definedName>
    <definedName name="BExVTTJVTNRSBHBTUZ78WG2JM5MK" localSheetId="18" hidden="1">#REF!</definedName>
    <definedName name="BExVTTJVTNRSBHBTUZ78WG2JM5MK" hidden="1">#REF!</definedName>
    <definedName name="BExVTXLMYR87BC04D1ERALPUFVPG" localSheetId="18" hidden="1">#REF!</definedName>
    <definedName name="BExVTXLMYR87BC04D1ERALPUFVPG" hidden="1">#REF!</definedName>
    <definedName name="BExVUEJ63CBM9VJMNW3RSE919GDN" localSheetId="18" hidden="1">#REF!</definedName>
    <definedName name="BExVUEJ63CBM9VJMNW3RSE919GDN" hidden="1">#REF!</definedName>
    <definedName name="BExVUKZ8B9WB4BOZ2U77BLN0FQMO" localSheetId="18" hidden="1">#REF!</definedName>
    <definedName name="BExVUKZ8B9WB4BOZ2U77BLN0FQMO" hidden="1">#REF!</definedName>
    <definedName name="BExVUL9V3H8ZF6Y72LQBBN639YAA" localSheetId="18" hidden="1">#REF!</definedName>
    <definedName name="BExVUL9V3H8ZF6Y72LQBBN639YAA" hidden="1">#REF!</definedName>
    <definedName name="BExVULFDJFCNRI6ITVSJ20MEQ4RF" localSheetId="18" hidden="1">#REF!</definedName>
    <definedName name="BExVULFDJFCNRI6ITVSJ20MEQ4RF" hidden="1">#REF!</definedName>
    <definedName name="BExVV5T14N2HZIK7HQ4P2KG09U0J" localSheetId="18" hidden="1">#REF!</definedName>
    <definedName name="BExVV5T14N2HZIK7HQ4P2KG09U0J" hidden="1">#REF!</definedName>
    <definedName name="BExVV7R410VYLADLX9LNG63ID6H1" localSheetId="18" hidden="1">#REF!</definedName>
    <definedName name="BExVV7R410VYLADLX9LNG63ID6H1" hidden="1">#REF!</definedName>
    <definedName name="BExVV7WJSYFYP74SNAXSODTGHMLZ" localSheetId="18" hidden="1">#REF!</definedName>
    <definedName name="BExVV7WJSYFYP74SNAXSODTGHMLZ" hidden="1">#REF!</definedName>
    <definedName name="BExVVCEED4JEKF59OV0G3T4XFMFO" localSheetId="18" hidden="1">#REF!</definedName>
    <definedName name="BExVVCEED4JEKF59OV0G3T4XFMFO" hidden="1">#REF!</definedName>
    <definedName name="BExVVNMYEAFCCP9QT0J8H252JWD9" localSheetId="18" hidden="1">'[38]10.08.5 - 2008 Capital - TDBU'!#REF!</definedName>
    <definedName name="BExVVNMYEAFCCP9QT0J8H252JWD9" hidden="1">'[38]10.08.5 - 2008 Capital - TDBU'!#REF!</definedName>
    <definedName name="BExVVPFO2J7FMSRPD36909HN4BZJ" localSheetId="18" hidden="1">#REF!</definedName>
    <definedName name="BExVVPFO2J7FMSRPD36909HN4BZJ" hidden="1">#REF!</definedName>
    <definedName name="BExVVQ19AQ3VCARJOC38SF7OYE9Y" localSheetId="18" hidden="1">#REF!</definedName>
    <definedName name="BExVVQ19AQ3VCARJOC38SF7OYE9Y" hidden="1">#REF!</definedName>
    <definedName name="BExVVQ19TAECID45CS4HXT1RD3AQ" localSheetId="18" hidden="1">#REF!</definedName>
    <definedName name="BExVVQ19TAECID45CS4HXT1RD3AQ" hidden="1">#REF!</definedName>
    <definedName name="BExVW0Z6US3NTJHJDYWIZB98DPUY" localSheetId="18" hidden="1">'[38]10.08.3 - 2008 Expense - TDBU'!#REF!</definedName>
    <definedName name="BExVW0Z6US3NTJHJDYWIZB98DPUY" hidden="1">'[38]10.08.3 - 2008 Expense - TDBU'!#REF!</definedName>
    <definedName name="BExVW1Q2P0JOW0VUQZZGZKEGMFKS" localSheetId="18" hidden="1">#REF!</definedName>
    <definedName name="BExVW1Q2P0JOW0VUQZZGZKEGMFKS" hidden="1">#REF!</definedName>
    <definedName name="BExVW3YV5XGIVJ97UUPDJGJ2P15B" localSheetId="18" hidden="1">#REF!</definedName>
    <definedName name="BExVW3YV5XGIVJ97UUPDJGJ2P15B" hidden="1">#REF!</definedName>
    <definedName name="BExVW5X571GEYR5SCU1Z2DHKWM79" localSheetId="18" hidden="1">#REF!</definedName>
    <definedName name="BExVW5X571GEYR5SCU1Z2DHKWM79" hidden="1">#REF!</definedName>
    <definedName name="BExVW6YTKA098AF57M4PHNQ54XMH" localSheetId="18" hidden="1">#REF!</definedName>
    <definedName name="BExVW6YTKA098AF57M4PHNQ54XMH" hidden="1">#REF!</definedName>
    <definedName name="BExVWINKCH0V0NUWH363SMXAZE62" localSheetId="18" hidden="1">#REF!</definedName>
    <definedName name="BExVWINKCH0V0NUWH363SMXAZE62" hidden="1">#REF!</definedName>
    <definedName name="BExVWTG1XJY59HT2TMMJM4S3G1YT" localSheetId="18" hidden="1">#REF!</definedName>
    <definedName name="BExVWTG1XJY59HT2TMMJM4S3G1YT" hidden="1">#REF!</definedName>
    <definedName name="BExVWYU8EK669NP172GEIGCTVPPA" localSheetId="18" hidden="1">#REF!</definedName>
    <definedName name="BExVWYU8EK669NP172GEIGCTVPPA" hidden="1">#REF!</definedName>
    <definedName name="BExVX3MVJ0GHWPP1EL59ZQNKMX0B" localSheetId="18" hidden="1">#REF!</definedName>
    <definedName name="BExVX3MVJ0GHWPP1EL59ZQNKMX0B" hidden="1">#REF!</definedName>
    <definedName name="BExVX3XN2DRJKL8EDBIG58RYQ36R" localSheetId="18" hidden="1">#REF!</definedName>
    <definedName name="BExVX3XN2DRJKL8EDBIG58RYQ36R" hidden="1">#REF!</definedName>
    <definedName name="BExVXDZ63PUART77BBR5SI63TPC6" localSheetId="18" hidden="1">#REF!</definedName>
    <definedName name="BExVXDZ63PUART77BBR5SI63TPC6" hidden="1">#REF!</definedName>
    <definedName name="BExVXHKI6LFYMGWISMPACMO247HL" localSheetId="18" hidden="1">#REF!</definedName>
    <definedName name="BExVXHKI6LFYMGWISMPACMO247HL" hidden="1">#REF!</definedName>
    <definedName name="BExVXL0O69U12CDKBFJOPW4R1P2N" localSheetId="18" hidden="1">#REF!</definedName>
    <definedName name="BExVXL0O69U12CDKBFJOPW4R1P2N" hidden="1">#REF!</definedName>
    <definedName name="BExVXLX2BZ5EF2X6R41BTKRJR1NM" localSheetId="18" hidden="1">#REF!</definedName>
    <definedName name="BExVXLX2BZ5EF2X6R41BTKRJR1NM" hidden="1">#REF!</definedName>
    <definedName name="BExVXTK9AEYZ4I2G1G36EB5LBSYN" localSheetId="18" hidden="1">#REF!</definedName>
    <definedName name="BExVXTK9AEYZ4I2G1G36EB5LBSYN" hidden="1">#REF!</definedName>
    <definedName name="BExVY11V7U1SAY4QKYE0PBSPD7LW" localSheetId="18" hidden="1">#REF!</definedName>
    <definedName name="BExVY11V7U1SAY4QKYE0PBSPD7LW" hidden="1">#REF!</definedName>
    <definedName name="BExVY1SV37DL5YU59HS4IG3VBCP4" localSheetId="18" hidden="1">#REF!</definedName>
    <definedName name="BExVY1SV37DL5YU59HS4IG3VBCP4" hidden="1">#REF!</definedName>
    <definedName name="BExVY3WFGJKSQA08UF9NCMST928Y" localSheetId="18" hidden="1">#REF!</definedName>
    <definedName name="BExVY3WFGJKSQA08UF9NCMST928Y" hidden="1">#REF!</definedName>
    <definedName name="BExVY954UOEVQEIC5OFO4NEWVKAQ" localSheetId="18" hidden="1">#REF!</definedName>
    <definedName name="BExVY954UOEVQEIC5OFO4NEWVKAQ" hidden="1">#REF!</definedName>
    <definedName name="BExVYDC7HTM8F61S3XN21YNDDND2" localSheetId="18" hidden="1">#REF!</definedName>
    <definedName name="BExVYDC7HTM8F61S3XN21YNDDND2" hidden="1">#REF!</definedName>
    <definedName name="BExVYFFR4A093PVY6PMSQTBJDM7M" localSheetId="18" hidden="1">#REF!</definedName>
    <definedName name="BExVYFFR4A093PVY6PMSQTBJDM7M" hidden="1">#REF!</definedName>
    <definedName name="BExVYFL875EZ1Y283MJDADGHT55S" localSheetId="18" hidden="1">'[38]10.08.2 - 2008 Expense'!#REF!</definedName>
    <definedName name="BExVYFL875EZ1Y283MJDADGHT55S" hidden="1">'[38]10.08.2 - 2008 Expense'!#REF!</definedName>
    <definedName name="BExVYHDYIV5397LC02V4FEP8VD6W" localSheetId="18" hidden="1">#REF!</definedName>
    <definedName name="BExVYHDYIV5397LC02V4FEP8VD6W" hidden="1">#REF!</definedName>
    <definedName name="BExVYJXKYUCSEU1BZ19KSB39VXMD" localSheetId="18" hidden="1">#REF!</definedName>
    <definedName name="BExVYJXKYUCSEU1BZ19KSB39VXMD" hidden="1">#REF!</definedName>
    <definedName name="BExVYOVIZDA18YIQ0A30Q052PCAK" localSheetId="18" hidden="1">#REF!</definedName>
    <definedName name="BExVYOVIZDA18YIQ0A30Q052PCAK" hidden="1">#REF!</definedName>
    <definedName name="BExVYQIXPEM6J4JVP78BRHIC05PV" localSheetId="18" hidden="1">#REF!</definedName>
    <definedName name="BExVYQIXPEM6J4JVP78BRHIC05PV" hidden="1">#REF!</definedName>
    <definedName name="BExVYR9UQJ26G3DMTP1TIAG98DRS" localSheetId="18" hidden="1">#REF!</definedName>
    <definedName name="BExVYR9UQJ26G3DMTP1TIAG98DRS" hidden="1">#REF!</definedName>
    <definedName name="BExVYVGWN7SONLVDH9WJ2F1JS264" localSheetId="18" hidden="1">#REF!</definedName>
    <definedName name="BExVYVGWN7SONLVDH9WJ2F1JS264" hidden="1">#REF!</definedName>
    <definedName name="BExVZ9EO732IK6MNMG17Y1EFTJQC" localSheetId="18" hidden="1">#REF!</definedName>
    <definedName name="BExVZ9EO732IK6MNMG17Y1EFTJQC" hidden="1">#REF!</definedName>
    <definedName name="BExVZB1Y5J4UL2LKK0363EU7GIJ1" localSheetId="18" hidden="1">#REF!</definedName>
    <definedName name="BExVZB1Y5J4UL2LKK0363EU7GIJ1" hidden="1">#REF!</definedName>
    <definedName name="BExVZJQVO5LQ0BJH5JEN5NOBIAF6" localSheetId="18" hidden="1">#REF!</definedName>
    <definedName name="BExVZJQVO5LQ0BJH5JEN5NOBIAF6" hidden="1">#REF!</definedName>
    <definedName name="BExVZNXWS91RD7NXV5NE2R3C8WW7" localSheetId="18" hidden="1">#REF!</definedName>
    <definedName name="BExVZNXWS91RD7NXV5NE2R3C8WW7" hidden="1">#REF!</definedName>
    <definedName name="BExW0386REQRCQCVT9BCX80UPTRY" localSheetId="18" hidden="1">#REF!</definedName>
    <definedName name="BExW0386REQRCQCVT9BCX80UPTRY" hidden="1">#REF!</definedName>
    <definedName name="BExW05XB61VWY09SYF60QOK8TPYX" localSheetId="18" hidden="1">#REF!</definedName>
    <definedName name="BExW05XB61VWY09SYF60QOK8TPYX" hidden="1">#REF!</definedName>
    <definedName name="BExW06IWPRMJLGPZWY6KNMR28VMQ" localSheetId="18" hidden="1">'[38]10.08.5 - 2008 Capital - TDBU'!#REF!</definedName>
    <definedName name="BExW06IWPRMJLGPZWY6KNMR28VMQ" hidden="1">'[38]10.08.5 - 2008 Capital - TDBU'!#REF!</definedName>
    <definedName name="BExW08MEDLGNM5Z5KYW1HQXCBUR6" localSheetId="18" hidden="1">#REF!</definedName>
    <definedName name="BExW08MEDLGNM5Z5KYW1HQXCBUR6" hidden="1">#REF!</definedName>
    <definedName name="BExW0CIO5SH0TQLZQ1VMKX3JZ7NW" localSheetId="18" hidden="1">#REF!</definedName>
    <definedName name="BExW0CIO5SH0TQLZQ1VMKX3JZ7NW" hidden="1">#REF!</definedName>
    <definedName name="BExW0FYP4WXY71CYUG40SUBG9UWU" localSheetId="18" hidden="1">#REF!</definedName>
    <definedName name="BExW0FYP4WXY71CYUG40SUBG9UWU" hidden="1">#REF!</definedName>
    <definedName name="BExW0RI61B4VV0ARXTFVBAWRA1C5" localSheetId="18" hidden="1">#REF!</definedName>
    <definedName name="BExW0RI61B4VV0ARXTFVBAWRA1C5" hidden="1">#REF!</definedName>
    <definedName name="BExW0VZZ6WSKCTPUWLYP7VEYJM10" localSheetId="18" hidden="1">#REF!</definedName>
    <definedName name="BExW0VZZ6WSKCTPUWLYP7VEYJM10" hidden="1">#REF!</definedName>
    <definedName name="BExW0ZFYUNZUIMD4ETNZWCS9T0CT" localSheetId="18" hidden="1">#REF!</definedName>
    <definedName name="BExW0ZFYUNZUIMD4ETNZWCS9T0CT" hidden="1">#REF!</definedName>
    <definedName name="BExW1BVUYQTKMOR56MW7RVRX4L1L" localSheetId="18" hidden="1">#REF!</definedName>
    <definedName name="BExW1BVUYQTKMOR56MW7RVRX4L1L" hidden="1">#REF!</definedName>
    <definedName name="BExW1F1220628FOMTW5UAATHRJHK" localSheetId="18" hidden="1">#REF!</definedName>
    <definedName name="BExW1F1220628FOMTW5UAATHRJHK" hidden="1">#REF!</definedName>
    <definedName name="BExW1K4I0JZH96X4HFQY6YAMIG60" localSheetId="18" hidden="1">#REF!</definedName>
    <definedName name="BExW1K4I0JZH96X4HFQY6YAMIG60" hidden="1">#REF!</definedName>
    <definedName name="BExW1TKA0Z9OP2DTG50GZR5EG8C7" localSheetId="18" hidden="1">#REF!</definedName>
    <definedName name="BExW1TKA0Z9OP2DTG50GZR5EG8C7" hidden="1">#REF!</definedName>
    <definedName name="BExW1U0JLKQ094DW5MMOI8UHO09V" localSheetId="18" hidden="1">#REF!</definedName>
    <definedName name="BExW1U0JLKQ094DW5MMOI8UHO09V" hidden="1">#REF!</definedName>
    <definedName name="BExW1WUZ349YPJVAKCEJO07L4NFW" localSheetId="18" hidden="1">#REF!</definedName>
    <definedName name="BExW1WUZ349YPJVAKCEJO07L4NFW" hidden="1">#REF!</definedName>
    <definedName name="BExW21T2WD1YDR47I9BWVRGJZMKW" localSheetId="18" hidden="1">'[38]10.08.3 - 2008 Expense - TDBU'!#REF!</definedName>
    <definedName name="BExW21T2WD1YDR47I9BWVRGJZMKW" hidden="1">'[38]10.08.3 - 2008 Expense - TDBU'!#REF!</definedName>
    <definedName name="BExW24NI0GQA13RVEGFK7ISS512B" localSheetId="18" hidden="1">#REF!</definedName>
    <definedName name="BExW24NI0GQA13RVEGFK7ISS512B" hidden="1">#REF!</definedName>
    <definedName name="BExW283NP9D366XFPXLGSCI5UB0L" localSheetId="18" hidden="1">#REF!</definedName>
    <definedName name="BExW283NP9D366XFPXLGSCI5UB0L" hidden="1">#REF!</definedName>
    <definedName name="BExW2F54PEPPIGMV5I4XLXMKJOTG" localSheetId="18" hidden="1">#REF!</definedName>
    <definedName name="BExW2F54PEPPIGMV5I4XLXMKJOTG" hidden="1">#REF!</definedName>
    <definedName name="BExW2H3C8WJSBW5FGTFKVDVJC4CL" localSheetId="18" hidden="1">#REF!</definedName>
    <definedName name="BExW2H3C8WJSBW5FGTFKVDVJC4CL" hidden="1">#REF!</definedName>
    <definedName name="BExW2MSCKPGF5K3I7TL4KF5ISUOL" localSheetId="18" hidden="1">#REF!</definedName>
    <definedName name="BExW2MSCKPGF5K3I7TL4KF5ISUOL" hidden="1">#REF!</definedName>
    <definedName name="BExW2SMO90FU9W8DVVES6Q4E6BZR" localSheetId="18" hidden="1">#REF!</definedName>
    <definedName name="BExW2SMO90FU9W8DVVES6Q4E6BZR" hidden="1">#REF!</definedName>
    <definedName name="BExW2V0ZEMESP2BVDJGZFBJOIOIQ" localSheetId="18" hidden="1">'[38]10.08.5 - 2008 Capital - TDBU'!#REF!</definedName>
    <definedName name="BExW2V0ZEMESP2BVDJGZFBJOIOIQ" hidden="1">'[38]10.08.5 - 2008 Capital - TDBU'!#REF!</definedName>
    <definedName name="BExW36V9N91OHCUMGWJQL3I5P4JK" localSheetId="18" hidden="1">#REF!</definedName>
    <definedName name="BExW36V9N91OHCUMGWJQL3I5P4JK" hidden="1">#REF!</definedName>
    <definedName name="BExW3EIBA1J9Q9NA9VCGZGRS8WV7" localSheetId="18" hidden="1">#REF!</definedName>
    <definedName name="BExW3EIBA1J9Q9NA9VCGZGRS8WV7" hidden="1">#REF!</definedName>
    <definedName name="BExW3FEO8FI8N6AGQKYEG4SQVJWB" localSheetId="18" hidden="1">#REF!</definedName>
    <definedName name="BExW3FEO8FI8N6AGQKYEG4SQVJWB" hidden="1">#REF!</definedName>
    <definedName name="BExW3GB28STOMJUSZEIA7YKYNS4Y" localSheetId="18" hidden="1">#REF!</definedName>
    <definedName name="BExW3GB28STOMJUSZEIA7YKYNS4Y" hidden="1">#REF!</definedName>
    <definedName name="BExW3T1K638HT5E0Y8MMK108P5JT" localSheetId="18" hidden="1">#REF!</definedName>
    <definedName name="BExW3T1K638HT5E0Y8MMK108P5JT" hidden="1">#REF!</definedName>
    <definedName name="BExW4217ZHL9VO39POSTJOD090WU" localSheetId="18" hidden="1">#REF!</definedName>
    <definedName name="BExW4217ZHL9VO39POSTJOD090WU" hidden="1">#REF!</definedName>
    <definedName name="BExW4GPW71EBF8XPS2QGVQHBCDX3" localSheetId="18" hidden="1">#REF!</definedName>
    <definedName name="BExW4GPW71EBF8XPS2QGVQHBCDX3" hidden="1">#REF!</definedName>
    <definedName name="BExW4JKC5837JBPCOJV337ZVYYY3" localSheetId="18" hidden="1">#REF!</definedName>
    <definedName name="BExW4JKC5837JBPCOJV337ZVYYY3" hidden="1">#REF!</definedName>
    <definedName name="BExW4MPQ2JLA196HW39IPT3Q6JVK" localSheetId="18" hidden="1">#REF!</definedName>
    <definedName name="BExW4MPQ2JLA196HW39IPT3Q6JVK" hidden="1">#REF!</definedName>
    <definedName name="BExW4MV5UH4OKNB95Q2AO7LFASBP" localSheetId="18" hidden="1">#REF!</definedName>
    <definedName name="BExW4MV5UH4OKNB95Q2AO7LFASBP" hidden="1">#REF!</definedName>
    <definedName name="BExW4QR9FV9MP5K610THBSM51RYO" localSheetId="18" hidden="1">#REF!</definedName>
    <definedName name="BExW4QR9FV9MP5K610THBSM51RYO" hidden="1">#REF!</definedName>
    <definedName name="BExW4T5M43NPIJS54VL6SZAENBOE" localSheetId="18" hidden="1">#REF!</definedName>
    <definedName name="BExW4T5M43NPIJS54VL6SZAENBOE" hidden="1">#REF!</definedName>
    <definedName name="BExW4Z029R9E19ZENN3WEA3VDAD1" localSheetId="18" hidden="1">#REF!</definedName>
    <definedName name="BExW4Z029R9E19ZENN3WEA3VDAD1" hidden="1">#REF!</definedName>
    <definedName name="BExW51EDOYXJBXR5AFJCYTA7JI06" localSheetId="18" hidden="1">#REF!</definedName>
    <definedName name="BExW51EDOYXJBXR5AFJCYTA7JI06" hidden="1">#REF!</definedName>
    <definedName name="BExW5AZNT6IAZGNF2C879ODHY1B8" localSheetId="18" hidden="1">#REF!</definedName>
    <definedName name="BExW5AZNT6IAZGNF2C879ODHY1B8" hidden="1">#REF!</definedName>
    <definedName name="BExW5VTHC5GDYD5M9B4Q0FUY7OBA" localSheetId="18" hidden="1">#REF!</definedName>
    <definedName name="BExW5VTHC5GDYD5M9B4Q0FUY7OBA" hidden="1">#REF!</definedName>
    <definedName name="BExW5W48S3UI5UJMSXULAD20EMCG" localSheetId="18" hidden="1">#REF!</definedName>
    <definedName name="BExW5W48S3UI5UJMSXULAD20EMCG" hidden="1">#REF!</definedName>
    <definedName name="BExW5WPU27WD4NWZOT0ZEJIDLX5J" localSheetId="18" hidden="1">#REF!</definedName>
    <definedName name="BExW5WPU27WD4NWZOT0ZEJIDLX5J" hidden="1">#REF!</definedName>
    <definedName name="BExW5YYNT0AJF2AFS43IFCHR7WQQ" localSheetId="18" hidden="1">'[38]10.08.2 - 2008 Expense'!#REF!</definedName>
    <definedName name="BExW5YYNT0AJF2AFS43IFCHR7WQQ" hidden="1">'[38]10.08.2 - 2008 Expense'!#REF!</definedName>
    <definedName name="BExW660AV1TUV2XNUPD65RZR3QOO" localSheetId="18" hidden="1">#REF!</definedName>
    <definedName name="BExW660AV1TUV2XNUPD65RZR3QOO" hidden="1">#REF!</definedName>
    <definedName name="BExW66LVVZK656PQY1257QMHP2AY" localSheetId="18" hidden="1">#REF!</definedName>
    <definedName name="BExW66LVVZK656PQY1257QMHP2AY" hidden="1">#REF!</definedName>
    <definedName name="BExW6EJPHAP1TWT380AZLXNHR22P" localSheetId="18" hidden="1">#REF!</definedName>
    <definedName name="BExW6EJPHAP1TWT380AZLXNHR22P" hidden="1">#REF!</definedName>
    <definedName name="BExW6G1PJ38H10DVLL8WPQ736OEB" localSheetId="18" hidden="1">#REF!</definedName>
    <definedName name="BExW6G1PJ38H10DVLL8WPQ736OEB" hidden="1">#REF!</definedName>
    <definedName name="BExW6TU0OMFLMCB6EWBOQSGHUMX5" localSheetId="18" hidden="1">#REF!</definedName>
    <definedName name="BExW6TU0OMFLMCB6EWBOQSGHUMX5" hidden="1">#REF!</definedName>
    <definedName name="BExW6VBYODJKTS0FMZ47EQS9FUF2" localSheetId="18" hidden="1">#REF!</definedName>
    <definedName name="BExW6VBYODJKTS0FMZ47EQS9FUF2" hidden="1">#REF!</definedName>
    <definedName name="BExW6WZDUEZS3JDTHC8X310LL1OU" localSheetId="18" hidden="1">#REF!</definedName>
    <definedName name="BExW6WZDUEZS3JDTHC8X310LL1OU" hidden="1">#REF!</definedName>
    <definedName name="BExW76F60TD8OIAVEJQE3MX4PLDY" localSheetId="18" hidden="1">#REF!</definedName>
    <definedName name="BExW76F60TD8OIAVEJQE3MX4PLDY" hidden="1">#REF!</definedName>
    <definedName name="BExW782GMQD1F9JJSPQU5QT2TWON" localSheetId="18" hidden="1">#REF!</definedName>
    <definedName name="BExW782GMQD1F9JJSPQU5QT2TWON" hidden="1">#REF!</definedName>
    <definedName name="BExW794A74Z5F2K8LVQLD6VSKXUE" localSheetId="18" hidden="1">#REF!</definedName>
    <definedName name="BExW794A74Z5F2K8LVQLD6VSKXUE" hidden="1">#REF!</definedName>
    <definedName name="BExW7DBCHP0SWYSW2RKLS8IBPCVS" localSheetId="18" hidden="1">#REF!</definedName>
    <definedName name="BExW7DBCHP0SWYSW2RKLS8IBPCVS" hidden="1">#REF!</definedName>
    <definedName name="BExW7S00X50K2O0H0GL7P3JROGG6" localSheetId="18" hidden="1">#REF!</definedName>
    <definedName name="BExW7S00X50K2O0H0GL7P3JROGG6" hidden="1">#REF!</definedName>
    <definedName name="BExW81FSTXQA1A81CD1MVDX6257O" localSheetId="18" hidden="1">#REF!</definedName>
    <definedName name="BExW81FSTXQA1A81CD1MVDX6257O" hidden="1">#REF!</definedName>
    <definedName name="BExW82C756R4HC5DTN5Z29F0D3QO" localSheetId="18" hidden="1">'[38]10.08.3 - 2008 Expense - TDBU'!#REF!</definedName>
    <definedName name="BExW82C756R4HC5DTN5Z29F0D3QO" hidden="1">'[38]10.08.3 - 2008 Expense - TDBU'!#REF!</definedName>
    <definedName name="BExW87VVJSJLAJQQHUHH974N4MAO" localSheetId="18" hidden="1">#REF!</definedName>
    <definedName name="BExW87VVJSJLAJQQHUHH974N4MAO" hidden="1">#REF!</definedName>
    <definedName name="BExW8COJI4803WMVPHGL8240OBIU" localSheetId="18" hidden="1">#REF!</definedName>
    <definedName name="BExW8COJI4803WMVPHGL8240OBIU" hidden="1">#REF!</definedName>
    <definedName name="BExW8K0SSIPSKBVP06IJ71600HJZ" localSheetId="18" hidden="1">#REF!</definedName>
    <definedName name="BExW8K0SSIPSKBVP06IJ71600HJZ" hidden="1">#REF!</definedName>
    <definedName name="BExW8NM8DJJESE7GF7VGTO2XO6P1" localSheetId="18" hidden="1">#REF!</definedName>
    <definedName name="BExW8NM8DJJESE7GF7VGTO2XO6P1" hidden="1">#REF!</definedName>
    <definedName name="BExW8P9O4HQC1Y372I0HCCBVKNTO" localSheetId="18" hidden="1">#REF!</definedName>
    <definedName name="BExW8P9O4HQC1Y372I0HCCBVKNTO" hidden="1">#REF!</definedName>
    <definedName name="BExW8T0GVY3ZYO4ACSBLHS8SH895" localSheetId="18" hidden="1">#REF!</definedName>
    <definedName name="BExW8T0GVY3ZYO4ACSBLHS8SH895" hidden="1">#REF!</definedName>
    <definedName name="BExW8YEP73JMMU9HZ08PM4WHJQZ4" localSheetId="18" hidden="1">#REF!</definedName>
    <definedName name="BExW8YEP73JMMU9HZ08PM4WHJQZ4" hidden="1">#REF!</definedName>
    <definedName name="BExW937AT53OZQRHNWQZ5BVH24IE" localSheetId="18" hidden="1">#REF!</definedName>
    <definedName name="BExW937AT53OZQRHNWQZ5BVH24IE" hidden="1">#REF!</definedName>
    <definedName name="BExW95LN5N0LYFFVP7GJEGDVDLF0" localSheetId="18" hidden="1">#REF!</definedName>
    <definedName name="BExW95LN5N0LYFFVP7GJEGDVDLF0" hidden="1">#REF!</definedName>
    <definedName name="BExW967733Q8RAJOHR2GJ3HO8JIW" localSheetId="18" hidden="1">#REF!</definedName>
    <definedName name="BExW967733Q8RAJOHR2GJ3HO8JIW" hidden="1">#REF!</definedName>
    <definedName name="BExW9OHD0PA2FFDEECR0C4SFBRVS" localSheetId="18" hidden="1">#REF!</definedName>
    <definedName name="BExW9OHD0PA2FFDEECR0C4SFBRVS" hidden="1">#REF!</definedName>
    <definedName name="BExW9POK1KIOI0ALS5MZIKTDIYMA" localSheetId="18" hidden="1">#REF!</definedName>
    <definedName name="BExW9POK1KIOI0ALS5MZIKTDIYMA" hidden="1">#REF!</definedName>
    <definedName name="BExW9TVLB7OIHTG98I7I4EXBL61S" localSheetId="18" hidden="1">#REF!</definedName>
    <definedName name="BExW9TVLB7OIHTG98I7I4EXBL61S" hidden="1">#REF!</definedName>
    <definedName name="BExXL0I7INHGEJWJ97OQTEJKJUBR" localSheetId="18" hidden="1">#REF!</definedName>
    <definedName name="BExXL0I7INHGEJWJ97OQTEJKJUBR" hidden="1">#REF!</definedName>
    <definedName name="BExXLDE6PN4ESWT3LXJNQCY94NE4" localSheetId="18" hidden="1">#REF!</definedName>
    <definedName name="BExXLDE6PN4ESWT3LXJNQCY94NE4" hidden="1">#REF!</definedName>
    <definedName name="BExXLQVPK2H3IF0NDDA5CT612EUK" localSheetId="18" hidden="1">#REF!</definedName>
    <definedName name="BExXLQVPK2H3IF0NDDA5CT612EUK" hidden="1">#REF!</definedName>
    <definedName name="BExXLR6IO70TYTACKQH9M5PGV24J" localSheetId="18" hidden="1">#REF!</definedName>
    <definedName name="BExXLR6IO70TYTACKQH9M5PGV24J" hidden="1">#REF!</definedName>
    <definedName name="BExXM065WOLYRYHGHOJE0OOFXA4M" localSheetId="18" hidden="1">#REF!</definedName>
    <definedName name="BExXM065WOLYRYHGHOJE0OOFXA4M" hidden="1">#REF!</definedName>
    <definedName name="BExXM3GUNXVDM82KUR17NNUMQCNI" localSheetId="18" hidden="1">#REF!</definedName>
    <definedName name="BExXM3GUNXVDM82KUR17NNUMQCNI" hidden="1">#REF!</definedName>
    <definedName name="BExXMA28M8SH7MKIGETSDA72WUIZ" localSheetId="18" hidden="1">#REF!</definedName>
    <definedName name="BExXMA28M8SH7MKIGETSDA72WUIZ" hidden="1">#REF!</definedName>
    <definedName name="BExXMOLHIAHDLFSA31PUB36SC3I9" localSheetId="18" hidden="1">#REF!</definedName>
    <definedName name="BExXMOLHIAHDLFSA31PUB36SC3I9" hidden="1">#REF!</definedName>
    <definedName name="BExXMT8T5Z3M2JBQN65X2LKH0YQI" localSheetId="18" hidden="1">#REF!</definedName>
    <definedName name="BExXMT8T5Z3M2JBQN65X2LKH0YQI" hidden="1">#REF!</definedName>
    <definedName name="BExXN1XNO7H60M9X1E7EVWFJDM5N" localSheetId="18" hidden="1">#REF!</definedName>
    <definedName name="BExXN1XNO7H60M9X1E7EVWFJDM5N" hidden="1">#REF!</definedName>
    <definedName name="BExXN22ZOTIW49GPLWFYKVM90FNZ" localSheetId="18" hidden="1">#REF!</definedName>
    <definedName name="BExXN22ZOTIW49GPLWFYKVM90FNZ" hidden="1">#REF!</definedName>
    <definedName name="BExXN4C031W9DK73MJHKL8YT1QA8" localSheetId="18" hidden="1">#REF!</definedName>
    <definedName name="BExXN4C031W9DK73MJHKL8YT1QA8" hidden="1">#REF!</definedName>
    <definedName name="BExXN6QAP8UJQVN4R4BQKPP4QK35" localSheetId="18" hidden="1">#REF!</definedName>
    <definedName name="BExXN6QAP8UJQVN4R4BQKPP4QK35" hidden="1">#REF!</definedName>
    <definedName name="BExXNBOA39T2X6Y5Y5GZ5DDNA1AX" localSheetId="18" hidden="1">#REF!</definedName>
    <definedName name="BExXNBOA39T2X6Y5Y5GZ5DDNA1AX" hidden="1">#REF!</definedName>
    <definedName name="BExXNCVFNFROM6X4XZABZ1M55JVL" localSheetId="18" hidden="1">#REF!</definedName>
    <definedName name="BExXNCVFNFROM6X4XZABZ1M55JVL" hidden="1">#REF!</definedName>
    <definedName name="BExXND6872VJ3M2PGT056WQMWBHD" localSheetId="18" hidden="1">#REF!</definedName>
    <definedName name="BExXND6872VJ3M2PGT056WQMWBHD" hidden="1">#REF!</definedName>
    <definedName name="BExXNPM24UN2PGVL9D1TUBFRIKR4" localSheetId="18" hidden="1">#REF!</definedName>
    <definedName name="BExXNPM24UN2PGVL9D1TUBFRIKR4" hidden="1">#REF!</definedName>
    <definedName name="BExXNWYB165VO9MHARCL5WLCHWS0" localSheetId="18" hidden="1">#REF!</definedName>
    <definedName name="BExXNWYB165VO9MHARCL5WLCHWS0" hidden="1">#REF!</definedName>
    <definedName name="BExXNYLR0NNRQQBQ09OAWL5SFA2P" localSheetId="18" hidden="1">#REF!</definedName>
    <definedName name="BExXNYLR0NNRQQBQ09OAWL5SFA2P" hidden="1">#REF!</definedName>
    <definedName name="BExXO278QHQN8JDK5425EJ615ECC" localSheetId="18" hidden="1">#REF!</definedName>
    <definedName name="BExXO278QHQN8JDK5425EJ615ECC" hidden="1">#REF!</definedName>
    <definedName name="BExXO574BHMI9HN803IPJ8B00ZQ1" localSheetId="18" hidden="1">#REF!</definedName>
    <definedName name="BExXO574BHMI9HN803IPJ8B00ZQ1" hidden="1">#REF!</definedName>
    <definedName name="BExXO81JZ0ARONLA93VY8VLBDM3Z" localSheetId="18" hidden="1">#REF!</definedName>
    <definedName name="BExXO81JZ0ARONLA93VY8VLBDM3Z" hidden="1">#REF!</definedName>
    <definedName name="BExXOBHOP0WGFHI2Y9AO4L440UVQ" localSheetId="18" hidden="1">#REF!</definedName>
    <definedName name="BExXOBHOP0WGFHI2Y9AO4L440UVQ" hidden="1">#REF!</definedName>
    <definedName name="BExXOHSAD2NSHOLLMZ2JWA4I3I1R" localSheetId="18" hidden="1">#REF!</definedName>
    <definedName name="BExXOHSAD2NSHOLLMZ2JWA4I3I1R" hidden="1">#REF!</definedName>
    <definedName name="BExXOIDP4V2QCBHG5KQQO9VT0HDH" localSheetId="18" hidden="1">#REF!</definedName>
    <definedName name="BExXOIDP4V2QCBHG5KQQO9VT0HDH" hidden="1">#REF!</definedName>
    <definedName name="BExXOMQ7TBU2AJ03HNGNVCK9S4VM" localSheetId="18" hidden="1">#REF!</definedName>
    <definedName name="BExXOMQ7TBU2AJ03HNGNVCK9S4VM" hidden="1">#REF!</definedName>
    <definedName name="BExXP49C9Y3U7LWFBFCQSE4WPWHA" localSheetId="18" hidden="1">#REF!</definedName>
    <definedName name="BExXP49C9Y3U7LWFBFCQSE4WPWHA" hidden="1">#REF!</definedName>
    <definedName name="BExXP80B5FGA00JCM7UXKPI3PB7Y" localSheetId="18" hidden="1">#REF!</definedName>
    <definedName name="BExXP80B5FGA00JCM7UXKPI3PB7Y" hidden="1">#REF!</definedName>
    <definedName name="BExXP85M4WXYVN1UVHUTOEKEG5XS" localSheetId="18" hidden="1">#REF!</definedName>
    <definedName name="BExXP85M4WXYVN1UVHUTOEKEG5XS" hidden="1">#REF!</definedName>
    <definedName name="BExXPELOTHOAG0OWILLAH94OZV5J" localSheetId="18" hidden="1">#REF!</definedName>
    <definedName name="BExXPELOTHOAG0OWILLAH94OZV5J" hidden="1">#REF!</definedName>
    <definedName name="BExXPEWH9AJE234H90KL5ICZZ0IS" localSheetId="18" hidden="1">#REF!</definedName>
    <definedName name="BExXPEWH9AJE234H90KL5ICZZ0IS" hidden="1">#REF!</definedName>
    <definedName name="BExXPS31W1VD2NMIE4E37LHVDF0L" localSheetId="18" hidden="1">#REF!</definedName>
    <definedName name="BExXPS31W1VD2NMIE4E37LHVDF0L" hidden="1">#REF!</definedName>
    <definedName name="BExXPZKYEMVF5JOC14HYOOYQK6JK" localSheetId="18" hidden="1">#REF!</definedName>
    <definedName name="BExXPZKYEMVF5JOC14HYOOYQK6JK" hidden="1">#REF!</definedName>
    <definedName name="BExXQ12Q21G0KAAP7BK68KNBBDMH" localSheetId="18" hidden="1">#REF!</definedName>
    <definedName name="BExXQ12Q21G0KAAP7BK68KNBBDMH" hidden="1">#REF!</definedName>
    <definedName name="BExXQ72J3O85VF3MRWYM7RCY6B7A" localSheetId="18" hidden="1">#REF!</definedName>
    <definedName name="BExXQ72J3O85VF3MRWYM7RCY6B7A" hidden="1">#REF!</definedName>
    <definedName name="BExXQ89PA10X79WBWOEP1AJX1OQM" localSheetId="18" hidden="1">#REF!</definedName>
    <definedName name="BExXQ89PA10X79WBWOEP1AJX1OQM" hidden="1">#REF!</definedName>
    <definedName name="BExXQCGQGGYSI0LTRVR73MUO50AW" localSheetId="18" hidden="1">#REF!</definedName>
    <definedName name="BExXQCGQGGYSI0LTRVR73MUO50AW" hidden="1">#REF!</definedName>
    <definedName name="BExXQD2B3434GXJT0U2OVW30R5K6" localSheetId="18" hidden="1">#REF!</definedName>
    <definedName name="BExXQD2B3434GXJT0U2OVW30R5K6" hidden="1">#REF!</definedName>
    <definedName name="BExXQEEXFHDQ8DSRAJSB5ET6J004" localSheetId="18" hidden="1">#REF!</definedName>
    <definedName name="BExXQEEXFHDQ8DSRAJSB5ET6J004" hidden="1">#REF!</definedName>
    <definedName name="BExXQH41O5HZAH8BO6HCFY8YC3TU" localSheetId="18" hidden="1">#REF!</definedName>
    <definedName name="BExXQH41O5HZAH8BO6HCFY8YC3TU" hidden="1">#REF!</definedName>
    <definedName name="BExXQIRBLQSLAJTFL7224FCFUTKH" localSheetId="18" hidden="1">#REF!</definedName>
    <definedName name="BExXQIRBLQSLAJTFL7224FCFUTKH" hidden="1">#REF!</definedName>
    <definedName name="BExXQJIEF5R3QQ6D8HO3NGPU0IQC" localSheetId="18" hidden="1">#REF!</definedName>
    <definedName name="BExXQJIEF5R3QQ6D8HO3NGPU0IQC" hidden="1">#REF!</definedName>
    <definedName name="BExXQU00K9ER4I1WM7T9J0W1E7ZC" localSheetId="18" hidden="1">#REF!</definedName>
    <definedName name="BExXQU00K9ER4I1WM7T9J0W1E7ZC" hidden="1">#REF!</definedName>
    <definedName name="BExXQU00KOR7XLM8B13DGJ1MIQDY" localSheetId="18" hidden="1">#REF!</definedName>
    <definedName name="BExXQU00KOR7XLM8B13DGJ1MIQDY" hidden="1">#REF!</definedName>
    <definedName name="BExXQXG18PS8HGBOS03OSTQ0KEYC" localSheetId="18" hidden="1">#REF!</definedName>
    <definedName name="BExXQXG18PS8HGBOS03OSTQ0KEYC" hidden="1">#REF!</definedName>
    <definedName name="BExXQXQT4OAFQT5B0YB3USDJOJOB" localSheetId="18" hidden="1">#REF!</definedName>
    <definedName name="BExXQXQT4OAFQT5B0YB3USDJOJOB" hidden="1">#REF!</definedName>
    <definedName name="BExXR3FSEXAHSXEQNJORWFCPX86N" localSheetId="18" hidden="1">#REF!</definedName>
    <definedName name="BExXR3FSEXAHSXEQNJORWFCPX86N" hidden="1">#REF!</definedName>
    <definedName name="BExXR3W3FKYQBLR299HO9RZ70C43" localSheetId="18" hidden="1">#REF!</definedName>
    <definedName name="BExXR3W3FKYQBLR299HO9RZ70C43" hidden="1">#REF!</definedName>
    <definedName name="BExXR46U23CRRBV6IZT982MAEQKI" localSheetId="18" hidden="1">#REF!</definedName>
    <definedName name="BExXR46U23CRRBV6IZT982MAEQKI" hidden="1">#REF!</definedName>
    <definedName name="BExXR8OKAVX7O70V5IYG2PRKXSTI" localSheetId="18" hidden="1">#REF!</definedName>
    <definedName name="BExXR8OKAVX7O70V5IYG2PRKXSTI" hidden="1">#REF!</definedName>
    <definedName name="BExXRA6N6XCLQM6XDV724ZIH6G93" localSheetId="18" hidden="1">#REF!</definedName>
    <definedName name="BExXRA6N6XCLQM6XDV724ZIH6G93" hidden="1">#REF!</definedName>
    <definedName name="BExXRABZ1CNKCG6K1MR6OUFHF7J9" localSheetId="18" hidden="1">#REF!</definedName>
    <definedName name="BExXRABZ1CNKCG6K1MR6OUFHF7J9" hidden="1">#REF!</definedName>
    <definedName name="BExXRBOFETC0OTJ6WY3VPMFH03VB" localSheetId="18" hidden="1">#REF!</definedName>
    <definedName name="BExXRBOFETC0OTJ6WY3VPMFH03VB" hidden="1">#REF!</definedName>
    <definedName name="BExXRD13K1S9Y3JGR7CXSONT7RJZ" localSheetId="18" hidden="1">#REF!</definedName>
    <definedName name="BExXRD13K1S9Y3JGR7CXSONT7RJZ" hidden="1">#REF!</definedName>
    <definedName name="BExXRIFB4QQ87QIGA9AG0NXP577K" localSheetId="18" hidden="1">#REF!</definedName>
    <definedName name="BExXRIFB4QQ87QIGA9AG0NXP577K" hidden="1">#REF!</definedName>
    <definedName name="BExXRIQ2JF2CVTRDQX2D9SPH7FTN" localSheetId="18" hidden="1">#REF!</definedName>
    <definedName name="BExXRIQ2JF2CVTRDQX2D9SPH7FTN" hidden="1">#REF!</definedName>
    <definedName name="BExXRL4ETKGR5B08IWLV5UKWS07Z" localSheetId="18" hidden="1">#REF!</definedName>
    <definedName name="BExXRL4ETKGR5B08IWLV5UKWS07Z" hidden="1">#REF!</definedName>
    <definedName name="BExXRO4A6VUH1F4XV8N1BRJ4896W" localSheetId="18" hidden="1">#REF!</definedName>
    <definedName name="BExXRO4A6VUH1F4XV8N1BRJ4896W" hidden="1">#REF!</definedName>
    <definedName name="BExXRO9N1SNJZGKD90P4K7FU1J0P" localSheetId="18" hidden="1">#REF!</definedName>
    <definedName name="BExXRO9N1SNJZGKD90P4K7FU1J0P" hidden="1">#REF!</definedName>
    <definedName name="BExXRR9I9RZJSO66K1CB8R2H3ACH" localSheetId="18" hidden="1">#REF!</definedName>
    <definedName name="BExXRR9I9RZJSO66K1CB8R2H3ACH" hidden="1">#REF!</definedName>
    <definedName name="BExXRV5QP3Z0KAQ1EQT9JYT2FV0L" localSheetId="18" hidden="1">#REF!</definedName>
    <definedName name="BExXRV5QP3Z0KAQ1EQT9JYT2FV0L" hidden="1">#REF!</definedName>
    <definedName name="BExXRZ20LZZCW8LVGDK0XETOTSAI" localSheetId="18" hidden="1">#REF!</definedName>
    <definedName name="BExXRZ20LZZCW8LVGDK0XETOTSAI" hidden="1">#REF!</definedName>
    <definedName name="BExXRZNM651EJ5HJPGKGTVYLAZQ1" localSheetId="18" hidden="1">#REF!</definedName>
    <definedName name="BExXRZNM651EJ5HJPGKGTVYLAZQ1" hidden="1">#REF!</definedName>
    <definedName name="BExXS63O4OMWMNXXAODZQFSDG33N" localSheetId="18" hidden="1">#REF!</definedName>
    <definedName name="BExXS63O4OMWMNXXAODZQFSDG33N" hidden="1">#REF!</definedName>
    <definedName name="BExXS8HZ90IK9RD5CZ6M2XT64C3R" localSheetId="18" hidden="1">#REF!</definedName>
    <definedName name="BExXS8HZ90IK9RD5CZ6M2XT64C3R" hidden="1">#REF!</definedName>
    <definedName name="BExXSBSP1TOY051HSPEPM0AEIO2M" localSheetId="18" hidden="1">#REF!</definedName>
    <definedName name="BExXSBSP1TOY051HSPEPM0AEIO2M" hidden="1">#REF!</definedName>
    <definedName name="BExXSC8RFK5D68FJD2HI4K66SA6I" localSheetId="18" hidden="1">#REF!</definedName>
    <definedName name="BExXSC8RFK5D68FJD2HI4K66SA6I" hidden="1">#REF!</definedName>
    <definedName name="BExXSGW487JM8X45CILCD3ELADND" localSheetId="18" hidden="1">#REF!</definedName>
    <definedName name="BExXSGW487JM8X45CILCD3ELADND" hidden="1">#REF!</definedName>
    <definedName name="BExXSJA8FX6FL775LX7EDM4LQ4ZF" localSheetId="18" hidden="1">#REF!</definedName>
    <definedName name="BExXSJA8FX6FL775LX7EDM4LQ4ZF" hidden="1">#REF!</definedName>
    <definedName name="BExXSNHC88W4UMXEOIOOATJAIKZO" localSheetId="18" hidden="1">#REF!</definedName>
    <definedName name="BExXSNHC88W4UMXEOIOOATJAIKZO" hidden="1">#REF!</definedName>
    <definedName name="BExXSTBS08WIA9TLALV3UQ2Z3MRG" localSheetId="18" hidden="1">#REF!</definedName>
    <definedName name="BExXSTBS08WIA9TLALV3UQ2Z3MRG" hidden="1">#REF!</definedName>
    <definedName name="BExXSVQ2WOJJ73YEO8Q2FK60V4G8" localSheetId="18" hidden="1">#REF!</definedName>
    <definedName name="BExXSVQ2WOJJ73YEO8Q2FK60V4G8" hidden="1">#REF!</definedName>
    <definedName name="BExXTHLRNL82GN7KZY3TOLO508N7" localSheetId="18" hidden="1">#REF!</definedName>
    <definedName name="BExXTHLRNL82GN7KZY3TOLO508N7" hidden="1">#REF!</definedName>
    <definedName name="BExXTL72MKEQSQH9L2OTFLU8DM2B" localSheetId="18" hidden="1">#REF!</definedName>
    <definedName name="BExXTL72MKEQSQH9L2OTFLU8DM2B" hidden="1">#REF!</definedName>
    <definedName name="BExXTM3M4RTCRSX7VGAXGQNPP668" localSheetId="18" hidden="1">#REF!</definedName>
    <definedName name="BExXTM3M4RTCRSX7VGAXGQNPP668" hidden="1">#REF!</definedName>
    <definedName name="BExXTOCF78J7WY6FOVBRY1N2RBBR" localSheetId="18" hidden="1">#REF!</definedName>
    <definedName name="BExXTOCF78J7WY6FOVBRY1N2RBBR" hidden="1">#REF!</definedName>
    <definedName name="BExXTP3GYO6Z9RTKKT10XA0UTV3T" localSheetId="18" hidden="1">#REF!</definedName>
    <definedName name="BExXTP3GYO6Z9RTKKT10XA0UTV3T" hidden="1">#REF!</definedName>
    <definedName name="BExXTRXWS5WKEYMU65AGIWPW8XMY" localSheetId="18" hidden="1">#REF!</definedName>
    <definedName name="BExXTRXWS5WKEYMU65AGIWPW8XMY" hidden="1">#REF!</definedName>
    <definedName name="BExXTYU24I49X78RIN9EOO9PMHSV" localSheetId="18" hidden="1">#REF!</definedName>
    <definedName name="BExXTYU24I49X78RIN9EOO9PMHSV" hidden="1">#REF!</definedName>
    <definedName name="BExXTZKZ4CG92ZQLIRKEXXH9BFIR" localSheetId="18" hidden="1">#REF!</definedName>
    <definedName name="BExXTZKZ4CG92ZQLIRKEXXH9BFIR" hidden="1">#REF!</definedName>
    <definedName name="BExXU4J2BM2964GD5UZHM752Q4NS" localSheetId="18" hidden="1">#REF!</definedName>
    <definedName name="BExXU4J2BM2964GD5UZHM752Q4NS" hidden="1">#REF!</definedName>
    <definedName name="BExXU6XDTT7RM93KILIDEYPA9XKF" localSheetId="18" hidden="1">#REF!</definedName>
    <definedName name="BExXU6XDTT7RM93KILIDEYPA9XKF" hidden="1">#REF!</definedName>
    <definedName name="BExXU8VLZA7WLPZ3RAQZGNERUD26" localSheetId="18" hidden="1">#REF!</definedName>
    <definedName name="BExXU8VLZA7WLPZ3RAQZGNERUD26" hidden="1">#REF!</definedName>
    <definedName name="BExXUB9RSLSCNN5ETLXY72DAPZZM" localSheetId="18" hidden="1">#REF!</definedName>
    <definedName name="BExXUB9RSLSCNN5ETLXY72DAPZZM" hidden="1">#REF!</definedName>
    <definedName name="BExXUFRM82XQIN2T8KGLDQL1IBQW" localSheetId="18" hidden="1">#REF!</definedName>
    <definedName name="BExXUFRM82XQIN2T8KGLDQL1IBQW" hidden="1">#REF!</definedName>
    <definedName name="BExXUQEQBF6FI240ZGIF9YXZSRAU" localSheetId="18" hidden="1">#REF!</definedName>
    <definedName name="BExXUQEQBF6FI240ZGIF9YXZSRAU" hidden="1">#REF!</definedName>
    <definedName name="BExXUVSXSP8ESN178IHNRRMIMOMT" localSheetId="18" hidden="1">#REF!</definedName>
    <definedName name="BExXUVSXSP8ESN178IHNRRMIMOMT" hidden="1">#REF!</definedName>
    <definedName name="BExXUYND6EJO7CJ5KRICV4O1JNWK" localSheetId="18" hidden="1">#REF!</definedName>
    <definedName name="BExXUYND6EJO7CJ5KRICV4O1JNWK" hidden="1">#REF!</definedName>
    <definedName name="BExXV1HYM7PSRL7FDSBCIW13Z2U3" localSheetId="18" hidden="1">#REF!</definedName>
    <definedName name="BExXV1HYM7PSRL7FDSBCIW13Z2U3" hidden="1">#REF!</definedName>
    <definedName name="BExXV6FWG4H3S2QEUJZYIXILNGJ7" localSheetId="18" hidden="1">#REF!</definedName>
    <definedName name="BExXV6FWG4H3S2QEUJZYIXILNGJ7" hidden="1">#REF!</definedName>
    <definedName name="BExXVCVYROMZMHARVU6MD514BMTF" localSheetId="18" hidden="1">#REF!</definedName>
    <definedName name="BExXVCVYROMZMHARVU6MD514BMTF" hidden="1">#REF!</definedName>
    <definedName name="BExXVGS1T0RO7HBN75IPQXATHZ23" localSheetId="18" hidden="1">#REF!</definedName>
    <definedName name="BExXVGS1T0RO7HBN75IPQXATHZ23" hidden="1">#REF!</definedName>
    <definedName name="BExXVK87BMMO6LHKV0CFDNIQVIBS" localSheetId="18" hidden="1">#REF!</definedName>
    <definedName name="BExXVK87BMMO6LHKV0CFDNIQVIBS" hidden="1">#REF!</definedName>
    <definedName name="BExXVKZ9WXPGL6IVY6T61IDD771I" localSheetId="18" hidden="1">#REF!</definedName>
    <definedName name="BExXVKZ9WXPGL6IVY6T61IDD771I" hidden="1">#REF!</definedName>
    <definedName name="BExXVUPU1FDA3CCHMAFE3SPCNSO2" localSheetId="18" hidden="1">#REF!</definedName>
    <definedName name="BExXVUPU1FDA3CCHMAFE3SPCNSO2" hidden="1">#REF!</definedName>
    <definedName name="BExXW0K72T1Y8K1I4VZT87UY9S2G" localSheetId="18" hidden="1">#REF!</definedName>
    <definedName name="BExXW0K72T1Y8K1I4VZT87UY9S2G" hidden="1">#REF!</definedName>
    <definedName name="BExXW27MMXHXUXX78SDTBE1JYTHT" localSheetId="18" hidden="1">#REF!</definedName>
    <definedName name="BExXW27MMXHXUXX78SDTBE1JYTHT" hidden="1">#REF!</definedName>
    <definedName name="BExXW2YIM2MYBSHRIX0RP9D4PRMN" localSheetId="18" hidden="1">#REF!</definedName>
    <definedName name="BExXW2YIM2MYBSHRIX0RP9D4PRMN" hidden="1">#REF!</definedName>
    <definedName name="BExXWBNE4KTFSXKVSRF6WX039WPB" localSheetId="18" hidden="1">#REF!</definedName>
    <definedName name="BExXWBNE4KTFSXKVSRF6WX039WPB" hidden="1">#REF!</definedName>
    <definedName name="BExXWFP5AYE7EHYTJWBZSQ8PQ0YX" localSheetId="18" hidden="1">#REF!</definedName>
    <definedName name="BExXWFP5AYE7EHYTJWBZSQ8PQ0YX" hidden="1">#REF!</definedName>
    <definedName name="BExXWSAAQ4VSVQZI0D2A8NTQ53VH" localSheetId="18" hidden="1">#REF!</definedName>
    <definedName name="BExXWSAAQ4VSVQZI0D2A8NTQ53VH" hidden="1">#REF!</definedName>
    <definedName name="BExXWVFIBQT8OY1O41FRFPFGXQHK" localSheetId="18" hidden="1">#REF!</definedName>
    <definedName name="BExXWVFIBQT8OY1O41FRFPFGXQHK" hidden="1">#REF!</definedName>
    <definedName name="BExXWWXHBZHA9J3N8K47F84X0M0L" localSheetId="18" hidden="1">#REF!</definedName>
    <definedName name="BExXWWXHBZHA9J3N8K47F84X0M0L" hidden="1">#REF!</definedName>
    <definedName name="BExXX7V6XV8D71NMUTIG4TUF6DF3" localSheetId="18" hidden="1">'[38]10.08.5 - 2008 Capital - TDBU'!#REF!</definedName>
    <definedName name="BExXX7V6XV8D71NMUTIG4TUF6DF3" hidden="1">'[38]10.08.5 - 2008 Capital - TDBU'!#REF!</definedName>
    <definedName name="BExXX9D3XK7CEZ9SI9UOA6F79ZPL" localSheetId="18" hidden="1">#REF!</definedName>
    <definedName name="BExXX9D3XK7CEZ9SI9UOA6F79ZPL" hidden="1">#REF!</definedName>
    <definedName name="BExXXBBCLDS7K2HB4LLGA6TTTXO3" localSheetId="18" hidden="1">#REF!</definedName>
    <definedName name="BExXXBBCLDS7K2HB4LLGA6TTTXO3" hidden="1">#REF!</definedName>
    <definedName name="BExXXBGNQF0HXLZNUFVN9AGYLRGU" localSheetId="18" hidden="1">#REF!</definedName>
    <definedName name="BExXXBGNQF0HXLZNUFVN9AGYLRGU" hidden="1">#REF!</definedName>
    <definedName name="BExXXBM521DL8R4ZX7NZ3DBCUOR5" localSheetId="18" hidden="1">#REF!</definedName>
    <definedName name="BExXXBM521DL8R4ZX7NZ3DBCUOR5" hidden="1">#REF!</definedName>
    <definedName name="BExXXC7OZI33XZ03NRMEP7VRLQK4" localSheetId="18" hidden="1">#REF!</definedName>
    <definedName name="BExXXC7OZI33XZ03NRMEP7VRLQK4" hidden="1">#REF!</definedName>
    <definedName name="BExXXH5N3NKBQ7BCJPJTBF8CYM2Q" localSheetId="18" hidden="1">#REF!</definedName>
    <definedName name="BExXXH5N3NKBQ7BCJPJTBF8CYM2Q" hidden="1">#REF!</definedName>
    <definedName name="BExXXKWLM4D541BH6O8GOJMHFHMW" localSheetId="18" hidden="1">#REF!</definedName>
    <definedName name="BExXXKWLM4D541BH6O8GOJMHFHMW" hidden="1">#REF!</definedName>
    <definedName name="BExXXPPA1Q87XPI97X0OXCPBPDON" localSheetId="18" hidden="1">#REF!</definedName>
    <definedName name="BExXXPPA1Q87XPI97X0OXCPBPDON" hidden="1">#REF!</definedName>
    <definedName name="BExXXVUDA98IZTQ6MANKU4MTTDVR" localSheetId="18" hidden="1">#REF!</definedName>
    <definedName name="BExXXVUDA98IZTQ6MANKU4MTTDVR" hidden="1">#REF!</definedName>
    <definedName name="BExXXZQNZY6IZI45DJXJK0MQZWA7" localSheetId="18" hidden="1">#REF!</definedName>
    <definedName name="BExXXZQNZY6IZI45DJXJK0MQZWA7" hidden="1">#REF!</definedName>
    <definedName name="BExXY5QFG6QP94SFT3935OBM8Y4K" localSheetId="18" hidden="1">#REF!</definedName>
    <definedName name="BExXY5QFG6QP94SFT3935OBM8Y4K" hidden="1">#REF!</definedName>
    <definedName name="BExXY7TYEBFXRYUYIFHTN65RJ8EW" localSheetId="18" hidden="1">#REF!</definedName>
    <definedName name="BExXY7TYEBFXRYUYIFHTN65RJ8EW" hidden="1">#REF!</definedName>
    <definedName name="BExXYD85DGL2MUZ4DB0JR3L1UVLF" localSheetId="18" hidden="1">#REF!</definedName>
    <definedName name="BExXYD85DGL2MUZ4DB0JR3L1UVLF" hidden="1">#REF!</definedName>
    <definedName name="BExXYLBHANUXC5FCTDDTGOVD3GQS" localSheetId="18" hidden="1">#REF!</definedName>
    <definedName name="BExXYLBHANUXC5FCTDDTGOVD3GQS" hidden="1">#REF!</definedName>
    <definedName name="BExXYMNYAYH3WA2ZCFAYKZID9ZCI" localSheetId="18" hidden="1">#REF!</definedName>
    <definedName name="BExXYMNYAYH3WA2ZCFAYKZID9ZCI" hidden="1">#REF!</definedName>
    <definedName name="BExXYWEQL36MHLNSDGU1FOTX7M20" localSheetId="18" hidden="1">#REF!</definedName>
    <definedName name="BExXYWEQL36MHLNSDGU1FOTX7M20" hidden="1">#REF!</definedName>
    <definedName name="BExXYWK1Q4ED490YK6LD13PRAMS4" localSheetId="18" hidden="1">#REF!</definedName>
    <definedName name="BExXYWK1Q4ED490YK6LD13PRAMS4" hidden="1">#REF!</definedName>
    <definedName name="BExXYYT12SVN2VDMLVNV4P3ISD8T" localSheetId="18" hidden="1">#REF!</definedName>
    <definedName name="BExXYYT12SVN2VDMLVNV4P3ISD8T" hidden="1">#REF!</definedName>
    <definedName name="BExXZEDWUYH25UZMW2QU2RXFILJE" localSheetId="18" hidden="1">#REF!</definedName>
    <definedName name="BExXZEDWUYH25UZMW2QU2RXFILJE" hidden="1">#REF!</definedName>
    <definedName name="BExXZFVV4YB42AZ3H1I40YG3JAPU" localSheetId="18" hidden="1">#REF!</definedName>
    <definedName name="BExXZFVV4YB42AZ3H1I40YG3JAPU" hidden="1">#REF!</definedName>
    <definedName name="BExXZH30Y2VXGXW705XP20HU2G86" localSheetId="18" hidden="1">#REF!</definedName>
    <definedName name="BExXZH30Y2VXGXW705XP20HU2G86" hidden="1">#REF!</definedName>
    <definedName name="BExXZHJ9T2JELF12CHHGD54J1B0C" localSheetId="18" hidden="1">#REF!</definedName>
    <definedName name="BExXZHJ9T2JELF12CHHGD54J1B0C" hidden="1">#REF!</definedName>
    <definedName name="BExXZNJ2X1TK2LRK5ZY3MX49H5T7" localSheetId="18" hidden="1">#REF!</definedName>
    <definedName name="BExXZNJ2X1TK2LRK5ZY3MX49H5T7" hidden="1">#REF!</definedName>
    <definedName name="BExXZOVPCEP495TQSON6PSRQ8XCY" localSheetId="18" hidden="1">#REF!</definedName>
    <definedName name="BExXZOVPCEP495TQSON6PSRQ8XCY" hidden="1">#REF!</definedName>
    <definedName name="BExXZXKH7NBARQQAZM69Z57IH1MM" localSheetId="18" hidden="1">#REF!</definedName>
    <definedName name="BExXZXKH7NBARQQAZM69Z57IH1MM" hidden="1">#REF!</definedName>
    <definedName name="BExY07WSDH5QEVM7BJXJK2ZRAI1O" localSheetId="18" hidden="1">#REF!</definedName>
    <definedName name="BExY07WSDH5QEVM7BJXJK2ZRAI1O" hidden="1">#REF!</definedName>
    <definedName name="BExY0C3UBVC4M59JIRXVQ8OWAJC1" localSheetId="18" hidden="1">#REF!</definedName>
    <definedName name="BExY0C3UBVC4M59JIRXVQ8OWAJC1" hidden="1">#REF!</definedName>
    <definedName name="BExY0G03T6MD304WV4PCS8A8UZOU" localSheetId="18" hidden="1">#REF!</definedName>
    <definedName name="BExY0G03T6MD304WV4PCS8A8UZOU" hidden="1">#REF!</definedName>
    <definedName name="BExY0JAM6LIEX03Y3CDOQG13XO98" localSheetId="18" hidden="1">#REF!</definedName>
    <definedName name="BExY0JAM6LIEX03Y3CDOQG13XO98" hidden="1">#REF!</definedName>
    <definedName name="BExY0MLAPBIUHZHF3MNQUBZEOPGA" localSheetId="18" hidden="1">#REF!</definedName>
    <definedName name="BExY0MLAPBIUHZHF3MNQUBZEOPGA" hidden="1">#REF!</definedName>
    <definedName name="BExY0OE8GFHMLLTEAFIOQTOPEVPB" localSheetId="18" hidden="1">#REF!</definedName>
    <definedName name="BExY0OE8GFHMLLTEAFIOQTOPEVPB" hidden="1">#REF!</definedName>
    <definedName name="BExY0OJHW85S0VKBA8T4HTYPYBOS" localSheetId="18" hidden="1">#REF!</definedName>
    <definedName name="BExY0OJHW85S0VKBA8T4HTYPYBOS" hidden="1">#REF!</definedName>
    <definedName name="BExY0T1E034D7XAXNC6F7540LLIE" localSheetId="18" hidden="1">#REF!</definedName>
    <definedName name="BExY0T1E034D7XAXNC6F7540LLIE" hidden="1">#REF!</definedName>
    <definedName name="BExY0XTZLHN49J2JH94BYTKBJLT3" localSheetId="18" hidden="1">#REF!</definedName>
    <definedName name="BExY0XTZLHN49J2JH94BYTKBJLT3" hidden="1">#REF!</definedName>
    <definedName name="BExY11FH9TXHERUYGG8FE50U7H7J" localSheetId="18" hidden="1">#REF!</definedName>
    <definedName name="BExY11FH9TXHERUYGG8FE50U7H7J" hidden="1">#REF!</definedName>
    <definedName name="BExY14VIIZDQ07OMY7WD69P6ZBUX" localSheetId="18" hidden="1">#REF!</definedName>
    <definedName name="BExY14VIIZDQ07OMY7WD69P6ZBUX" hidden="1">#REF!</definedName>
    <definedName name="BExY16O8FRFU2AKAB73SDMHTLF36" localSheetId="18" hidden="1">#REF!</definedName>
    <definedName name="BExY16O8FRFU2AKAB73SDMHTLF36" hidden="1">#REF!</definedName>
    <definedName name="BExY180UKNW5NIAWD6ZUYTFEH8QS" localSheetId="18" hidden="1">#REF!</definedName>
    <definedName name="BExY180UKNW5NIAWD6ZUYTFEH8QS" hidden="1">#REF!</definedName>
    <definedName name="BExY1DPTV4LSY9MEOUGXF8X052NA" localSheetId="18" hidden="1">#REF!</definedName>
    <definedName name="BExY1DPTV4LSY9MEOUGXF8X052NA" hidden="1">#REF!</definedName>
    <definedName name="BExY1GK9ELBEKDD7O6HR6DUO8YGO" localSheetId="18" hidden="1">#REF!</definedName>
    <definedName name="BExY1GK9ELBEKDD7O6HR6DUO8YGO" hidden="1">#REF!</definedName>
    <definedName name="BExY1JK5FLBIKGF4D7K1BMSTT2W7" localSheetId="18" hidden="1">'[38]10.08.5 - 2008 Capital - TDBU'!#REF!</definedName>
    <definedName name="BExY1JK5FLBIKGF4D7K1BMSTT2W7" hidden="1">'[38]10.08.5 - 2008 Capital - TDBU'!#REF!</definedName>
    <definedName name="BExY1JUYIFR0O90W747XIO278VF6" localSheetId="18" hidden="1">#REF!</definedName>
    <definedName name="BExY1JUYIFR0O90W747XIO278VF6" hidden="1">#REF!</definedName>
    <definedName name="BExY1NWOXXFV9GGZ3PX444LZ8TVX" localSheetId="18" hidden="1">#REF!</definedName>
    <definedName name="BExY1NWOXXFV9GGZ3PX444LZ8TVX" hidden="1">#REF!</definedName>
    <definedName name="BExY1R7F5GLGAYZT2TMJYZVT5X8X" localSheetId="18" hidden="1">#REF!</definedName>
    <definedName name="BExY1R7F5GLGAYZT2TMJYZVT5X8X" hidden="1">#REF!</definedName>
    <definedName name="BExY1TR13AYI0HGDYRVNRSR1VPOV" localSheetId="18" hidden="1">#REF!</definedName>
    <definedName name="BExY1TR13AYI0HGDYRVNRSR1VPOV" hidden="1">#REF!</definedName>
    <definedName name="BExY1UCL0RND63LLSM9X5SFRG117" localSheetId="18" hidden="1">#REF!</definedName>
    <definedName name="BExY1UCL0RND63LLSM9X5SFRG117" hidden="1">#REF!</definedName>
    <definedName name="BExY1WAT3937L08HLHIRQHMP2A3H" localSheetId="18" hidden="1">#REF!</definedName>
    <definedName name="BExY1WAT3937L08HLHIRQHMP2A3H" hidden="1">#REF!</definedName>
    <definedName name="BExY1YEBOSLMID7LURP8QB46AI91" localSheetId="18" hidden="1">#REF!</definedName>
    <definedName name="BExY1YEBOSLMID7LURP8QB46AI91" hidden="1">#REF!</definedName>
    <definedName name="BExY29MW53U9H65R6IEGDFI64XHB" localSheetId="18" hidden="1">#REF!</definedName>
    <definedName name="BExY29MW53U9H65R6IEGDFI64XHB" hidden="1">#REF!</definedName>
    <definedName name="BExY2FS4LFX9OHOTQT7SJ2PXAC25" localSheetId="18" hidden="1">#REF!</definedName>
    <definedName name="BExY2FS4LFX9OHOTQT7SJ2PXAC25" hidden="1">#REF!</definedName>
    <definedName name="BExY2GDPCZPVU0IQ6IJIB1YQQRQ6" localSheetId="18" hidden="1">#REF!</definedName>
    <definedName name="BExY2GDPCZPVU0IQ6IJIB1YQQRQ6" hidden="1">#REF!</definedName>
    <definedName name="BExY2GTSZ3VA9TXLY7KW1LIAKJ61" localSheetId="18" hidden="1">#REF!</definedName>
    <definedName name="BExY2GTSZ3VA9TXLY7KW1LIAKJ61" hidden="1">#REF!</definedName>
    <definedName name="BExY2H4LV4INLFET24XNE1FUGSXP" localSheetId="18" hidden="1">#REF!</definedName>
    <definedName name="BExY2H4LV4INLFET24XNE1FUGSXP" hidden="1">#REF!</definedName>
    <definedName name="BExY2IXBR1SGYZH08T7QHKEFS8HA" localSheetId="18" hidden="1">#REF!</definedName>
    <definedName name="BExY2IXBR1SGYZH08T7QHKEFS8HA" hidden="1">#REF!</definedName>
    <definedName name="BExY2P7Y7WK5R8PQWMWRW9V4TL58" localSheetId="18" hidden="1">#REF!</definedName>
    <definedName name="BExY2P7Y7WK5R8PQWMWRW9V4TL58" hidden="1">#REF!</definedName>
    <definedName name="BExY2Q4B5FUDA5VU4VRUHX327QN0" localSheetId="18" hidden="1">#REF!</definedName>
    <definedName name="BExY2Q4B5FUDA5VU4VRUHX327QN0" hidden="1">#REF!</definedName>
    <definedName name="BExY2UWXID9H1ZZT216IJ2W3T4R5" localSheetId="18" hidden="1">#REF!</definedName>
    <definedName name="BExY2UWXID9H1ZZT216IJ2W3T4R5" hidden="1">#REF!</definedName>
    <definedName name="BExY3BEDJM4RQA202MJY8RJM0FGU" localSheetId="18" hidden="1">#REF!</definedName>
    <definedName name="BExY3BEDJM4RQA202MJY8RJM0FGU" hidden="1">#REF!</definedName>
    <definedName name="BExY3HOSK7YI364K15OX70AVR6F1" localSheetId="18" hidden="1">#REF!</definedName>
    <definedName name="BExY3HOSK7YI364K15OX70AVR6F1" hidden="1">#REF!</definedName>
    <definedName name="BExY3T89AUR83SOAZZ3OMDEJDQ39" localSheetId="18" hidden="1">#REF!</definedName>
    <definedName name="BExY3T89AUR83SOAZZ3OMDEJDQ39" hidden="1">#REF!</definedName>
    <definedName name="BExY40KOAK8UPA3XIKC6WE4OLQAL" localSheetId="18" hidden="1">#REF!</definedName>
    <definedName name="BExY40KOAK8UPA3XIKC6WE4OLQAL" hidden="1">#REF!</definedName>
    <definedName name="BExY4MG771JQ84EMIVB6HQGGHZY7" localSheetId="18" hidden="1">#REF!</definedName>
    <definedName name="BExY4MG771JQ84EMIVB6HQGGHZY7" hidden="1">#REF!</definedName>
    <definedName name="BExY4PWCSFB8P3J3TBQB2MD67263" localSheetId="18" hidden="1">#REF!</definedName>
    <definedName name="BExY4PWCSFB8P3J3TBQB2MD67263" hidden="1">#REF!</definedName>
    <definedName name="BExY4RZVZXZ35OZVEXTSWVVGE8XF" localSheetId="18" hidden="1">#REF!</definedName>
    <definedName name="BExY4RZVZXZ35OZVEXTSWVVGE8XF" hidden="1">#REF!</definedName>
    <definedName name="BExY4RZW3KK11JLYBA4DWZ92M6LQ" localSheetId="18" hidden="1">#REF!</definedName>
    <definedName name="BExY4RZW3KK11JLYBA4DWZ92M6LQ" hidden="1">#REF!</definedName>
    <definedName name="BExY4XOVTTNVZ577RLIEC7NZQFIX" localSheetId="18" hidden="1">#REF!</definedName>
    <definedName name="BExY4XOVTTNVZ577RLIEC7NZQFIX" hidden="1">#REF!</definedName>
    <definedName name="BExY50JAF5CG01GTHAUS7I4ZLUDC" localSheetId="18" hidden="1">#REF!</definedName>
    <definedName name="BExY50JAF5CG01GTHAUS7I4ZLUDC" hidden="1">#REF!</definedName>
    <definedName name="BExY53J6XUX9MQ87V5K1PHGLA5OZ" localSheetId="18" hidden="1">#REF!</definedName>
    <definedName name="BExY53J6XUX9MQ87V5K1PHGLA5OZ" hidden="1">#REF!</definedName>
    <definedName name="BExY53J7EXFEOFTRNAHLK7IH3ACB" localSheetId="18" hidden="1">#REF!</definedName>
    <definedName name="BExY53J7EXFEOFTRNAHLK7IH3ACB" hidden="1">#REF!</definedName>
    <definedName name="BExY5515SJTJS3VM80M3YYR0WF37" localSheetId="18" hidden="1">#REF!</definedName>
    <definedName name="BExY5515SJTJS3VM80M3YYR0WF37" hidden="1">#REF!</definedName>
    <definedName name="BExY5515WE39FQ3EG5QHG67V9C0O" localSheetId="18" hidden="1">#REF!</definedName>
    <definedName name="BExY5515WE39FQ3EG5QHG67V9C0O" hidden="1">#REF!</definedName>
    <definedName name="BExY5986WNAD8NFCPXC9TVLBU4FG" localSheetId="18" hidden="1">#REF!</definedName>
    <definedName name="BExY5986WNAD8NFCPXC9TVLBU4FG" hidden="1">#REF!</definedName>
    <definedName name="BExY5DF9MS25IFNWGJ1YAS5MDN8R" localSheetId="18" hidden="1">#REF!</definedName>
    <definedName name="BExY5DF9MS25IFNWGJ1YAS5MDN8R" hidden="1">#REF!</definedName>
    <definedName name="BExY5ERVGL3UM2MGT8LJ0XPKTZEK" localSheetId="18" hidden="1">#REF!</definedName>
    <definedName name="BExY5ERVGL3UM2MGT8LJ0XPKTZEK" hidden="1">#REF!</definedName>
    <definedName name="BExY5EX6NJFK8W754ZVZDN5DS04K" localSheetId="18" hidden="1">#REF!</definedName>
    <definedName name="BExY5EX6NJFK8W754ZVZDN5DS04K" hidden="1">#REF!</definedName>
    <definedName name="BExY5S3XD1NJT109CV54IFOHVLQ6" localSheetId="18" hidden="1">#REF!</definedName>
    <definedName name="BExY5S3XD1NJT109CV54IFOHVLQ6" hidden="1">#REF!</definedName>
    <definedName name="BExY5TB2VAI3GHKCPXMCVIOM8B8W" localSheetId="18" hidden="1">#REF!</definedName>
    <definedName name="BExY5TB2VAI3GHKCPXMCVIOM8B8W" hidden="1">#REF!</definedName>
    <definedName name="BExY6KVS1MMZ2R34PGEFR2BMTU9W" localSheetId="18" hidden="1">#REF!</definedName>
    <definedName name="BExY6KVS1MMZ2R34PGEFR2BMTU9W" hidden="1">#REF!</definedName>
    <definedName name="BExY6Q9YY7LW745GP7CYOGGSPHGE" localSheetId="18" hidden="1">#REF!</definedName>
    <definedName name="BExY6Q9YY7LW745GP7CYOGGSPHGE" hidden="1">#REF!</definedName>
    <definedName name="BExZIA3C8LKJTEH3MKQ57KJH5TA2" localSheetId="18" hidden="1">#REF!</definedName>
    <definedName name="BExZIA3C8LKJTEH3MKQ57KJH5TA2" hidden="1">#REF!</definedName>
    <definedName name="BExZIIHH3QNQE3GFMHEE4UMHY6WQ" localSheetId="18" hidden="1">#REF!</definedName>
    <definedName name="BExZIIHH3QNQE3GFMHEE4UMHY6WQ" hidden="1">#REF!</definedName>
    <definedName name="BExZIRH59XWU9D7KAUQ3N5FQ6ZQU" localSheetId="18" hidden="1">#REF!</definedName>
    <definedName name="BExZIRH59XWU9D7KAUQ3N5FQ6ZQU" hidden="1">#REF!</definedName>
    <definedName name="BExZIYO22G5UXOB42GDLYGVRJ6U7" localSheetId="18" hidden="1">#REF!</definedName>
    <definedName name="BExZIYO22G5UXOB42GDLYGVRJ6U7" hidden="1">#REF!</definedName>
    <definedName name="BExZJ7I9T8XU4MZRKJ1VVU76V2LZ" localSheetId="18" hidden="1">#REF!</definedName>
    <definedName name="BExZJ7I9T8XU4MZRKJ1VVU76V2LZ" hidden="1">#REF!</definedName>
    <definedName name="BExZJCWI93DAGB0LYD3D3RXA5T1X" localSheetId="18" hidden="1">#REF!</definedName>
    <definedName name="BExZJCWI93DAGB0LYD3D3RXA5T1X" hidden="1">#REF!</definedName>
    <definedName name="BExZJG77BNPTTXPHBDO6JVBP267V" localSheetId="18" hidden="1">#REF!</definedName>
    <definedName name="BExZJG77BNPTTXPHBDO6JVBP267V" hidden="1">#REF!</definedName>
    <definedName name="BExZJMY170JCUU1RWASNZ1HJPRTA" localSheetId="18" hidden="1">#REF!</definedName>
    <definedName name="BExZJMY170JCUU1RWASNZ1HJPRTA" hidden="1">#REF!</definedName>
    <definedName name="BExZJOQR77H0P4SUKVYACDCFBBXO" localSheetId="18" hidden="1">#REF!</definedName>
    <definedName name="BExZJOQR77H0P4SUKVYACDCFBBXO" hidden="1">#REF!</definedName>
    <definedName name="BExZJS6RG34ODDY9HMZ0O34MEMSB" localSheetId="18" hidden="1">#REF!</definedName>
    <definedName name="BExZJS6RG34ODDY9HMZ0O34MEMSB" hidden="1">#REF!</definedName>
    <definedName name="BExZJTOQ0YP3Z6MU1Z3EQPWCQJAV" localSheetId="18" hidden="1">#REF!</definedName>
    <definedName name="BExZJTOQ0YP3Z6MU1Z3EQPWCQJAV" hidden="1">#REF!</definedName>
    <definedName name="BExZJXA66GVI2J3KFTXHYHM2MLFQ" localSheetId="18" hidden="1">#REF!</definedName>
    <definedName name="BExZJXA66GVI2J3KFTXHYHM2MLFQ" hidden="1">#REF!</definedName>
    <definedName name="BExZK0FLA198EJ94QHWX96XGLB95" localSheetId="18" hidden="1">#REF!</definedName>
    <definedName name="BExZK0FLA198EJ94QHWX96XGLB95" hidden="1">#REF!</definedName>
    <definedName name="BExZK28BCCZCJGD4172FUNAGUC1I" localSheetId="18" hidden="1">#REF!</definedName>
    <definedName name="BExZK28BCCZCJGD4172FUNAGUC1I" hidden="1">#REF!</definedName>
    <definedName name="BExZK34NR4BAD7HJAP7SQ926UQP3" localSheetId="18" hidden="1">#REF!</definedName>
    <definedName name="BExZK34NR4BAD7HJAP7SQ926UQP3" hidden="1">#REF!</definedName>
    <definedName name="BExZK3FGPHH5H771U7D5XY7XBS6E" localSheetId="18" hidden="1">#REF!</definedName>
    <definedName name="BExZK3FGPHH5H771U7D5XY7XBS6E" hidden="1">#REF!</definedName>
    <definedName name="BExZKG5XNKFLT5VIJGTGN1KRY9M1" localSheetId="18" hidden="1">#REF!</definedName>
    <definedName name="BExZKG5XNKFLT5VIJGTGN1KRY9M1" hidden="1">#REF!</definedName>
    <definedName name="BExZKHYORG3O8C772XPFHM1N8T80" localSheetId="18" hidden="1">#REF!</definedName>
    <definedName name="BExZKHYORG3O8C772XPFHM1N8T80" hidden="1">#REF!</definedName>
    <definedName name="BExZKJRF2IRR57DG9CLC7MSHWNNN" localSheetId="18" hidden="1">#REF!</definedName>
    <definedName name="BExZKJRF2IRR57DG9CLC7MSHWNNN" hidden="1">#REF!</definedName>
    <definedName name="BExZKV5GYXO0X760SBD9TWTIQHGI" localSheetId="18" hidden="1">#REF!</definedName>
    <definedName name="BExZKV5GYXO0X760SBD9TWTIQHGI" hidden="1">#REF!</definedName>
    <definedName name="BExZKXUJFT2AT6IX3VNR84WD8J6O" localSheetId="18" hidden="1">#REF!</definedName>
    <definedName name="BExZKXUJFT2AT6IX3VNR84WD8J6O" hidden="1">#REF!</definedName>
    <definedName name="BExZL6E4YVXRUN7ZGF2BIGIXFR8K" localSheetId="18" hidden="1">#REF!</definedName>
    <definedName name="BExZL6E4YVXRUN7ZGF2BIGIXFR8K" hidden="1">#REF!</definedName>
    <definedName name="BExZLE6HTP4MI0C7JZBPGDRFSQHY" localSheetId="18" hidden="1">#REF!</definedName>
    <definedName name="BExZLE6HTP4MI0C7JZBPGDRFSQHY" hidden="1">#REF!</definedName>
    <definedName name="BExZLGVLMKTPFXG42QYT0PO81G7F" localSheetId="18" hidden="1">#REF!</definedName>
    <definedName name="BExZLGVLMKTPFXG42QYT0PO81G7F" hidden="1">#REF!</definedName>
    <definedName name="BExZLKMK7LRK14S09WLMH7MXSQXM" localSheetId="18" hidden="1">#REF!</definedName>
    <definedName name="BExZLKMK7LRK14S09WLMH7MXSQXM" hidden="1">#REF!</definedName>
    <definedName name="BExZM7JVLG0W8EG5RBU915U3SKBY" localSheetId="18" hidden="1">#REF!</definedName>
    <definedName name="BExZM7JVLG0W8EG5RBU915U3SKBY" hidden="1">#REF!</definedName>
    <definedName name="BExZM85FOVUFF110XMQ9O2ODSJUK" localSheetId="18" hidden="1">#REF!</definedName>
    <definedName name="BExZM85FOVUFF110XMQ9O2ODSJUK" hidden="1">#REF!</definedName>
    <definedName name="BExZMF1MMTZ1TA14PZ8ASSU2CBSP" localSheetId="18" hidden="1">#REF!</definedName>
    <definedName name="BExZMF1MMTZ1TA14PZ8ASSU2CBSP" hidden="1">#REF!</definedName>
    <definedName name="BExZMKL5YQZD7F0FUCSVFGLPFK52" localSheetId="18" hidden="1">#REF!</definedName>
    <definedName name="BExZMKL5YQZD7F0FUCSVFGLPFK52" hidden="1">#REF!</definedName>
    <definedName name="BExZMOC3VNZALJM71X2T6FV91GTB" localSheetId="18" hidden="1">#REF!</definedName>
    <definedName name="BExZMOC3VNZALJM71X2T6FV91GTB" hidden="1">#REF!</definedName>
    <definedName name="BExZMRC0GXPSO9JOPK8FEZBDS80M" localSheetId="18" hidden="1">#REF!</definedName>
    <definedName name="BExZMRC0GXPSO9JOPK8FEZBDS80M" hidden="1">#REF!</definedName>
    <definedName name="BExZMVJ0ODX05Q2E8C4IZVAY7RGU" localSheetId="18" hidden="1">#REF!</definedName>
    <definedName name="BExZMVJ0ODX05Q2E8C4IZVAY7RGU" hidden="1">#REF!</definedName>
    <definedName name="BExZMXH39OB0I43XEL3K11U3G9PM" localSheetId="18" hidden="1">#REF!</definedName>
    <definedName name="BExZMXH39OB0I43XEL3K11U3G9PM" hidden="1">#REF!</definedName>
    <definedName name="BExZMZQ3RBKDHT5GLFNLS52OSJA0" localSheetId="18" hidden="1">#REF!</definedName>
    <definedName name="BExZMZQ3RBKDHT5GLFNLS52OSJA0" hidden="1">#REF!</definedName>
    <definedName name="BExZN0MHIAUPB6G7US083VNAPOUO" localSheetId="18" hidden="1">#REF!</definedName>
    <definedName name="BExZN0MHIAUPB6G7US083VNAPOUO" hidden="1">#REF!</definedName>
    <definedName name="BExZN2F7Y2J2L2LN5WZRG949MS4A" localSheetId="18" hidden="1">#REF!</definedName>
    <definedName name="BExZN2F7Y2J2L2LN5WZRG949MS4A" hidden="1">#REF!</definedName>
    <definedName name="BExZN4TJVUGCFWL2CS28R36HN7S6" localSheetId="18" hidden="1">#REF!</definedName>
    <definedName name="BExZN4TJVUGCFWL2CS28R36HN7S6" hidden="1">#REF!</definedName>
    <definedName name="BExZN6BHBBUIDVNQ8LMA86ZJ8SBU" localSheetId="18" hidden="1">#REF!</definedName>
    <definedName name="BExZN6BHBBUIDVNQ8LMA86ZJ8SBU" hidden="1">#REF!</definedName>
    <definedName name="BExZN847WUWKRYTZWG9TCQZJS3OL" localSheetId="18" hidden="1">#REF!</definedName>
    <definedName name="BExZN847WUWKRYTZWG9TCQZJS3OL" hidden="1">#REF!</definedName>
    <definedName name="BExZNEUW1MNCUTLJ4LWIW18J6TXS" localSheetId="18" hidden="1">#REF!</definedName>
    <definedName name="BExZNEUW1MNCUTLJ4LWIW18J6TXS" hidden="1">#REF!</definedName>
    <definedName name="BExZNH3VISFF4NQI11BZDP5IQ7VG" localSheetId="18" hidden="1">#REF!</definedName>
    <definedName name="BExZNH3VISFF4NQI11BZDP5IQ7VG" hidden="1">#REF!</definedName>
    <definedName name="BExZNILV5N9PBKDZLALQEXXPJ2GZ" localSheetId="18" hidden="1">#REF!</definedName>
    <definedName name="BExZNILV5N9PBKDZLALQEXXPJ2GZ" hidden="1">#REF!</definedName>
    <definedName name="BExZNJYCFYVMAOI62GB2BABK1ELE" localSheetId="18" hidden="1">#REF!</definedName>
    <definedName name="BExZNJYCFYVMAOI62GB2BABK1ELE" hidden="1">#REF!</definedName>
    <definedName name="BExZNSCGGDV6CW77IZLFGQGTQJ5Q" localSheetId="18" hidden="1">#REF!</definedName>
    <definedName name="BExZNSCGGDV6CW77IZLFGQGTQJ5Q" hidden="1">#REF!</definedName>
    <definedName name="BExZNV707LIU6Z5H6QI6H67LHTI1" localSheetId="18" hidden="1">#REF!</definedName>
    <definedName name="BExZNV707LIU6Z5H6QI6H67LHTI1" hidden="1">#REF!</definedName>
    <definedName name="BExZNVCBKB930QQ9QW7KSGOZ0V1M" localSheetId="18" hidden="1">#REF!</definedName>
    <definedName name="BExZNVCBKB930QQ9QW7KSGOZ0V1M" hidden="1">#REF!</definedName>
    <definedName name="BExZNW8QJ18X0RSGFDWAE9ZSDX39" localSheetId="18" hidden="1">#REF!</definedName>
    <definedName name="BExZNW8QJ18X0RSGFDWAE9ZSDX39" hidden="1">#REF!</definedName>
    <definedName name="BExZNZDWRS6Q40L8OCWFEIVI0A1O" localSheetId="18" hidden="1">#REF!</definedName>
    <definedName name="BExZNZDWRS6Q40L8OCWFEIVI0A1O" hidden="1">#REF!</definedName>
    <definedName name="BExZOBO9NYLGVJQ31LVQ9XS2ZT4N" localSheetId="18" hidden="1">#REF!</definedName>
    <definedName name="BExZOBO9NYLGVJQ31LVQ9XS2ZT4N" hidden="1">#REF!</definedName>
    <definedName name="BExZOETNB1CJ3Y2RKLI1ZK0S8Z6H" localSheetId="18" hidden="1">#REF!</definedName>
    <definedName name="BExZOETNB1CJ3Y2RKLI1ZK0S8Z6H" hidden="1">#REF!</definedName>
    <definedName name="BExZOF9R1MU69L6PO5PC7TBTE9G9" localSheetId="18" hidden="1">#REF!</definedName>
    <definedName name="BExZOF9R1MU69L6PO5PC7TBTE9G9" hidden="1">#REF!</definedName>
    <definedName name="BExZOL9K1RUXBTLZ6FJ65BIE9G5R" localSheetId="18" hidden="1">#REF!</definedName>
    <definedName name="BExZOL9K1RUXBTLZ6FJ65BIE9G5R" hidden="1">#REF!</definedName>
    <definedName name="BExZOREMVSK4E5VSWM838KHUB8AI" localSheetId="18" hidden="1">#REF!</definedName>
    <definedName name="BExZOREMVSK4E5VSWM838KHUB8AI" hidden="1">#REF!</definedName>
    <definedName name="BExZOVR745T5P1KS9NV2PXZPZVRG" localSheetId="18" hidden="1">#REF!</definedName>
    <definedName name="BExZOVR745T5P1KS9NV2PXZPZVRG" hidden="1">#REF!</definedName>
    <definedName name="BExZOZSWGLSY2XYVRIS6VSNJDSGD" localSheetId="18" hidden="1">#REF!</definedName>
    <definedName name="BExZOZSWGLSY2XYVRIS6VSNJDSGD" hidden="1">#REF!</definedName>
    <definedName name="BExZP7AIJKLM6C6CSUIIFAHFBNX2" localSheetId="18" hidden="1">#REF!</definedName>
    <definedName name="BExZP7AIJKLM6C6CSUIIFAHFBNX2" hidden="1">#REF!</definedName>
    <definedName name="BExZPQ0XY507N8FJMVPKCTK8HC9H" localSheetId="18" hidden="1">#REF!</definedName>
    <definedName name="BExZPQ0XY507N8FJMVPKCTK8HC9H" hidden="1">#REF!</definedName>
    <definedName name="BExZPT0UWFAUYM11ETBX54NBI1PD" localSheetId="18" hidden="1">#REF!</definedName>
    <definedName name="BExZPT0UWFAUYM11ETBX54NBI1PD" hidden="1">#REF!</definedName>
    <definedName name="BExZQ37OVBR25U32CO2YYVPZOMR5" localSheetId="18" hidden="1">#REF!</definedName>
    <definedName name="BExZQ37OVBR25U32CO2YYVPZOMR5" hidden="1">#REF!</definedName>
    <definedName name="BExZQ3IHNAFF2HI20IH754T349LH" localSheetId="18" hidden="1">#REF!</definedName>
    <definedName name="BExZQ3IHNAFF2HI20IH754T349LH" hidden="1">#REF!</definedName>
    <definedName name="BExZQ3NT7H06VO0AR48WHZULZB93" localSheetId="18" hidden="1">#REF!</definedName>
    <definedName name="BExZQ3NT7H06VO0AR48WHZULZB93" hidden="1">#REF!</definedName>
    <definedName name="BExZQ7PJU07SEJMDX18U9YVDC2GU" localSheetId="18" hidden="1">#REF!</definedName>
    <definedName name="BExZQ7PJU07SEJMDX18U9YVDC2GU" hidden="1">#REF!</definedName>
    <definedName name="BExZQIHTGHK7OOI2Y2PN3JYBY82I" localSheetId="18" hidden="1">#REF!</definedName>
    <definedName name="BExZQIHTGHK7OOI2Y2PN3JYBY82I" hidden="1">#REF!</definedName>
    <definedName name="BExZQJJMGU5MHQOILGXGJPAQI5XI" localSheetId="18" hidden="1">#REF!</definedName>
    <definedName name="BExZQJJMGU5MHQOILGXGJPAQI5XI" hidden="1">#REF!</definedName>
    <definedName name="BExZQNQOI080YO1ADHPJGCG9R63F" localSheetId="18" hidden="1">#REF!</definedName>
    <definedName name="BExZQNQOI080YO1ADHPJGCG9R63F" hidden="1">#REF!</definedName>
    <definedName name="BExZQXBYEBN28QUH1KOVW6KKA5UM" localSheetId="18" hidden="1">#REF!</definedName>
    <definedName name="BExZQXBYEBN28QUH1KOVW6KKA5UM" hidden="1">#REF!</definedName>
    <definedName name="BExZQZKT146WEN8FTVZ7Y5TSB8L5" localSheetId="18" hidden="1">#REF!</definedName>
    <definedName name="BExZQZKT146WEN8FTVZ7Y5TSB8L5" hidden="1">#REF!</definedName>
    <definedName name="BExZR12Y982N9EKLLP7Z52WQHXXF" localSheetId="18" hidden="1">#REF!</definedName>
    <definedName name="BExZR12Y982N9EKLLP7Z52WQHXXF" hidden="1">#REF!</definedName>
    <definedName name="BExZR485AKBH93YZ08CMUC3WROED" localSheetId="18" hidden="1">#REF!</definedName>
    <definedName name="BExZR485AKBH93YZ08CMUC3WROED" hidden="1">#REF!</definedName>
    <definedName name="BExZR7TL98P2PPUVGIZYR5873DWW" localSheetId="18" hidden="1">#REF!</definedName>
    <definedName name="BExZR7TL98P2PPUVGIZYR5873DWW" hidden="1">#REF!</definedName>
    <definedName name="BExZRB9M8SJHCJ3R6G6N2FSC8JDL" localSheetId="18" hidden="1">#REF!</definedName>
    <definedName name="BExZRB9M8SJHCJ3R6G6N2FSC8JDL" hidden="1">#REF!</definedName>
    <definedName name="BExZRGD1603X5ACFALUUDKCD7X48" localSheetId="18" hidden="1">#REF!</definedName>
    <definedName name="BExZRGD1603X5ACFALUUDKCD7X48" hidden="1">#REF!</definedName>
    <definedName name="BExZRP1X6UVLN1UOLHH5VF4STP1O" localSheetId="18" hidden="1">#REF!</definedName>
    <definedName name="BExZRP1X6UVLN1UOLHH5VF4STP1O" hidden="1">#REF!</definedName>
    <definedName name="BExZRQ930U6OCYNV00CH5I0Q4LPE" localSheetId="18" hidden="1">#REF!</definedName>
    <definedName name="BExZRQ930U6OCYNV00CH5I0Q4LPE" hidden="1">#REF!</definedName>
    <definedName name="BExZRVSS7LVKUWW3VM61WKHK4M49" localSheetId="18" hidden="1">#REF!</definedName>
    <definedName name="BExZRVSS7LVKUWW3VM61WKHK4M49" hidden="1">#REF!</definedName>
    <definedName name="BExZRW8W514W8OZ72YBONYJ64GXF" localSheetId="18" hidden="1">#REF!</definedName>
    <definedName name="BExZRW8W514W8OZ72YBONYJ64GXF" hidden="1">#REF!</definedName>
    <definedName name="BExZRWJP2BUVFJPO8U8ATQEP0LZU" localSheetId="18" hidden="1">#REF!</definedName>
    <definedName name="BExZRWJP2BUVFJPO8U8ATQEP0LZU" hidden="1">#REF!</definedName>
    <definedName name="BExZRXAKDKQ1K9GZ7R5F89HTIP5Y" localSheetId="18" hidden="1">'[38]10.08.5 - 2008 Capital - TDBU'!#REF!</definedName>
    <definedName name="BExZRXAKDKQ1K9GZ7R5F89HTIP5Y" hidden="1">'[38]10.08.5 - 2008 Capital - TDBU'!#REF!</definedName>
    <definedName name="BExZS2OY9JTSSP01ZQ6V2T2LO5R9" localSheetId="18" hidden="1">#REF!</definedName>
    <definedName name="BExZS2OY9JTSSP01ZQ6V2T2LO5R9" hidden="1">#REF!</definedName>
    <definedName name="BExZSI9USDLZAN8LI8M4YYQL24GZ" localSheetId="18" hidden="1">#REF!</definedName>
    <definedName name="BExZSI9USDLZAN8LI8M4YYQL24GZ" hidden="1">#REF!</definedName>
    <definedName name="BExZSM0TL3458X254CZLZZ3GBCNQ" localSheetId="18" hidden="1">#REF!</definedName>
    <definedName name="BExZSM0TL3458X254CZLZZ3GBCNQ" hidden="1">#REF!</definedName>
    <definedName name="BExZSPX0YNISGS8SVTI69D6NC4IM" localSheetId="18" hidden="1">#REF!</definedName>
    <definedName name="BExZSPX0YNISGS8SVTI69D6NC4IM" hidden="1">#REF!</definedName>
    <definedName name="BExZSS0LA2JY4ZLJ1Z5YCMLJJZCH" localSheetId="18" hidden="1">#REF!</definedName>
    <definedName name="BExZSS0LA2JY4ZLJ1Z5YCMLJJZCH" hidden="1">#REF!</definedName>
    <definedName name="BExZTAQV2QVSZY5Y3VCCWUBSBW9P" localSheetId="18" hidden="1">#REF!</definedName>
    <definedName name="BExZTAQV2QVSZY5Y3VCCWUBSBW9P" hidden="1">#REF!</definedName>
    <definedName name="BExZTBN9GZGBJ8KW4A2BZPUYXU1F" localSheetId="18" hidden="1">#REF!</definedName>
    <definedName name="BExZTBN9GZGBJ8KW4A2BZPUYXU1F" hidden="1">#REF!</definedName>
    <definedName name="BExZTHSI2FX56PWRSNX9H5EWTZFO" localSheetId="18" hidden="1">#REF!</definedName>
    <definedName name="BExZTHSI2FX56PWRSNX9H5EWTZFO" hidden="1">#REF!</definedName>
    <definedName name="BExZTI39Q2UFW9SVCC3Q73QVFBU8" localSheetId="18" hidden="1">#REF!</definedName>
    <definedName name="BExZTI39Q2UFW9SVCC3Q73QVFBU8" hidden="1">#REF!</definedName>
    <definedName name="BExZTJL3HVBFY139H6CJHEQCT1EL" localSheetId="18" hidden="1">#REF!</definedName>
    <definedName name="BExZTJL3HVBFY139H6CJHEQCT1EL" hidden="1">#REF!</definedName>
    <definedName name="BExZTLOL8OPABZI453E0KVNA1GJS" localSheetId="18" hidden="1">#REF!</definedName>
    <definedName name="BExZTLOL8OPABZI453E0KVNA1GJS" hidden="1">#REF!</definedName>
    <definedName name="BExZTT6J3X0TOX0ZY6YPLUVMCW9X" localSheetId="18" hidden="1">#REF!</definedName>
    <definedName name="BExZTT6J3X0TOX0ZY6YPLUVMCW9X" hidden="1">#REF!</definedName>
    <definedName name="BExZTW6ECBRA0BBITWBQ8R93RMCL" localSheetId="18" hidden="1">#REF!</definedName>
    <definedName name="BExZTW6ECBRA0BBITWBQ8R93RMCL" hidden="1">#REF!</definedName>
    <definedName name="BExZU2BHYAOKSCBM3C5014ZF6IXS" localSheetId="18" hidden="1">#REF!</definedName>
    <definedName name="BExZU2BHYAOKSCBM3C5014ZF6IXS" hidden="1">#REF!</definedName>
    <definedName name="BExZU2RMJTXOCS0ROPMYPE6WTD87" localSheetId="18" hidden="1">#REF!</definedName>
    <definedName name="BExZU2RMJTXOCS0ROPMYPE6WTD87" hidden="1">#REF!</definedName>
    <definedName name="BExZUF7G8FENTJKH9R1XUWXM6CWD" localSheetId="18" hidden="1">#REF!</definedName>
    <definedName name="BExZUF7G8FENTJKH9R1XUWXM6CWD" hidden="1">#REF!</definedName>
    <definedName name="BExZUNARUJBIZ08VCAV3GEVBIR3D" localSheetId="18" hidden="1">#REF!</definedName>
    <definedName name="BExZUNARUJBIZ08VCAV3GEVBIR3D" hidden="1">#REF!</definedName>
    <definedName name="BExZUSZT5496UMBP4LFSLTR1GVEW" localSheetId="18" hidden="1">#REF!</definedName>
    <definedName name="BExZUSZT5496UMBP4LFSLTR1GVEW" hidden="1">#REF!</definedName>
    <definedName name="BExZUT54340I38GVCV79EL116WR0" localSheetId="18" hidden="1">#REF!</definedName>
    <definedName name="BExZUT54340I38GVCV79EL116WR0" hidden="1">#REF!</definedName>
    <definedName name="BExZUYDULCX65H9OZ9JHPBNKF3MI" localSheetId="18" hidden="1">#REF!</definedName>
    <definedName name="BExZUYDULCX65H9OZ9JHPBNKF3MI" hidden="1">#REF!</definedName>
    <definedName name="BExZV0192UZZ9JSP428VREBB1ZDY" localSheetId="18" hidden="1">#REF!</definedName>
    <definedName name="BExZV0192UZZ9JSP428VREBB1ZDY" hidden="1">#REF!</definedName>
    <definedName name="BExZV2QD5ZDK3AGDRULLA7JB46C3" localSheetId="18" hidden="1">#REF!</definedName>
    <definedName name="BExZV2QD5ZDK3AGDRULLA7JB46C3" hidden="1">#REF!</definedName>
    <definedName name="BExZV5FHALJ3O5Z9X9CYXRUGCC6O" localSheetId="18" hidden="1">#REF!</definedName>
    <definedName name="BExZV5FHALJ3O5Z9X9CYXRUGCC6O" hidden="1">#REF!</definedName>
    <definedName name="BExZVBQ29OM0V8XAL3HL0JIM0MMU" localSheetId="18" hidden="1">#REF!</definedName>
    <definedName name="BExZVBQ29OM0V8XAL3HL0JIM0MMU" hidden="1">#REF!</definedName>
    <definedName name="BExZVEPYS6HYXG8RN9GMWZTHDEMK" localSheetId="18" hidden="1">#REF!</definedName>
    <definedName name="BExZVEPYS6HYXG8RN9GMWZTHDEMK" hidden="1">#REF!</definedName>
    <definedName name="BExZVLM4T9ORS4ZWHME46U4Q103C" localSheetId="18" hidden="1">#REF!</definedName>
    <definedName name="BExZVLM4T9ORS4ZWHME46U4Q103C" hidden="1">#REF!</definedName>
    <definedName name="BExZVM7OZWPPRH5YQW50EYMMIW1A" localSheetId="18" hidden="1">#REF!</definedName>
    <definedName name="BExZVM7OZWPPRH5YQW50EYMMIW1A" hidden="1">#REF!</definedName>
    <definedName name="BExZVPYGX2C5OSHMZ6F0KBKZ6B1S" localSheetId="18" hidden="1">#REF!</definedName>
    <definedName name="BExZVPYGX2C5OSHMZ6F0KBKZ6B1S" hidden="1">#REF!</definedName>
    <definedName name="BExZW5UARC8W9AQNLJX2I5WQWS5F" localSheetId="18" hidden="1">#REF!</definedName>
    <definedName name="BExZW5UARC8W9AQNLJX2I5WQWS5F" hidden="1">#REF!</definedName>
    <definedName name="BExZW7HRGN6A9YS41KI2B2UUMJ7X" localSheetId="18" hidden="1">#REF!</definedName>
    <definedName name="BExZW7HRGN6A9YS41KI2B2UUMJ7X" hidden="1">#REF!</definedName>
    <definedName name="BExZW8ZPNV43UXGOT98FDNIBQHZY" localSheetId="18" hidden="1">#REF!</definedName>
    <definedName name="BExZW8ZPNV43UXGOT98FDNIBQHZY" hidden="1">#REF!</definedName>
    <definedName name="BExZWKZ5N3RDXU8MZ8HQVYYD8O0F" localSheetId="18" hidden="1">#REF!</definedName>
    <definedName name="BExZWKZ5N3RDXU8MZ8HQVYYD8O0F" hidden="1">#REF!</definedName>
    <definedName name="BExZWSMC9T48W74GFGQCIUJ8ZPP3" localSheetId="18" hidden="1">#REF!</definedName>
    <definedName name="BExZWSMC9T48W74GFGQCIUJ8ZPP3" hidden="1">#REF!</definedName>
    <definedName name="BExZWUF2V4HY3HI8JN9ZVPRWK1H3" localSheetId="18" hidden="1">#REF!</definedName>
    <definedName name="BExZWUF2V4HY3HI8JN9ZVPRWK1H3" hidden="1">#REF!</definedName>
    <definedName name="BExZWX45URTK9KYDJHEXL1OTZ833" localSheetId="18" hidden="1">#REF!</definedName>
    <definedName name="BExZWX45URTK9KYDJHEXL1OTZ833" hidden="1">#REF!</definedName>
    <definedName name="BExZWYRG26HN53ZPZ5ERJKTS6RJ1" localSheetId="18" hidden="1">#REF!</definedName>
    <definedName name="BExZWYRG26HN53ZPZ5ERJKTS6RJ1" hidden="1">#REF!</definedName>
    <definedName name="BExZX0EWQEZO86WDAD9A4EAEZ012" localSheetId="18" hidden="1">#REF!</definedName>
    <definedName name="BExZX0EWQEZO86WDAD9A4EAEZ012" hidden="1">#REF!</definedName>
    <definedName name="BExZX2T6ZT2DZLYSDJJBPVIT5OK2" localSheetId="18" hidden="1">#REF!</definedName>
    <definedName name="BExZX2T6ZT2DZLYSDJJBPVIT5OK2" hidden="1">#REF!</definedName>
    <definedName name="BExZXD01YCC2UKH6829EC0LCWB3B" localSheetId="18" hidden="1">#REF!</definedName>
    <definedName name="BExZXD01YCC2UKH6829EC0LCWB3B" hidden="1">#REF!</definedName>
    <definedName name="BExZXK6UA4ZV3XPC2N2NRSI4ZR6H" localSheetId="18" hidden="1">#REF!</definedName>
    <definedName name="BExZXK6UA4ZV3XPC2N2NRSI4ZR6H" hidden="1">#REF!</definedName>
    <definedName name="BExZXOJDELULNLEH7WG0OYJT0NJ4" localSheetId="18" hidden="1">#REF!</definedName>
    <definedName name="BExZXOJDELULNLEH7WG0OYJT0NJ4" hidden="1">#REF!</definedName>
    <definedName name="BExZXOOTRNUK8LGEAZ8ZCFW9KXQ1" localSheetId="18" hidden="1">#REF!</definedName>
    <definedName name="BExZXOOTRNUK8LGEAZ8ZCFW9KXQ1" hidden="1">#REF!</definedName>
    <definedName name="BExZXT6JOXNKEDU23DKL8XZAJZIH" localSheetId="18" hidden="1">#REF!</definedName>
    <definedName name="BExZXT6JOXNKEDU23DKL8XZAJZIH" hidden="1">#REF!</definedName>
    <definedName name="BExZXUTYW1HWEEZ1LIX4OQWC7HL1" localSheetId="18" hidden="1">#REF!</definedName>
    <definedName name="BExZXUTYW1HWEEZ1LIX4OQWC7HL1" hidden="1">#REF!</definedName>
    <definedName name="BExZXY4NKQL9QD76YMQJ15U1C2G8" localSheetId="18" hidden="1">#REF!</definedName>
    <definedName name="BExZXY4NKQL9QD76YMQJ15U1C2G8" hidden="1">#REF!</definedName>
    <definedName name="BExZXYQ7U5G08FQGUIGYT14QCBOF" localSheetId="18" hidden="1">#REF!</definedName>
    <definedName name="BExZXYQ7U5G08FQGUIGYT14QCBOF" hidden="1">#REF!</definedName>
    <definedName name="BExZY02V77YJBMODJSWZOYCMPS5X" localSheetId="18" hidden="1">#REF!</definedName>
    <definedName name="BExZY02V77YJBMODJSWZOYCMPS5X" hidden="1">#REF!</definedName>
    <definedName name="BExZY49QRZIR6CA41LFA9LM6EULU" localSheetId="18" hidden="1">#REF!</definedName>
    <definedName name="BExZY49QRZIR6CA41LFA9LM6EULU" hidden="1">#REF!</definedName>
    <definedName name="BExZYB62GGL1SOZY9U68AATTICHU" localSheetId="18" hidden="1">#REF!</definedName>
    <definedName name="BExZYB62GGL1SOZY9U68AATTICHU" hidden="1">#REF!</definedName>
    <definedName name="BExZYBBCV1AW9XEIT73TO2286ETP" localSheetId="18" hidden="1">#REF!</definedName>
    <definedName name="BExZYBBCV1AW9XEIT73TO2286ETP" hidden="1">#REF!</definedName>
    <definedName name="BExZYF262HRLEVP6L4KINWX6HBYI" localSheetId="18" hidden="1">#REF!</definedName>
    <definedName name="BExZYF262HRLEVP6L4KINWX6HBYI" hidden="1">#REF!</definedName>
    <definedName name="BExZZ2FQA9A8C7CJKMEFQ9VPSLCE" localSheetId="18" hidden="1">#REF!</definedName>
    <definedName name="BExZZ2FQA9A8C7CJKMEFQ9VPSLCE" hidden="1">#REF!</definedName>
    <definedName name="BExZZCHAVHW8C2H649KRGVQ0WVRT" localSheetId="18" hidden="1">#REF!</definedName>
    <definedName name="BExZZCHAVHW8C2H649KRGVQ0WVRT" hidden="1">#REF!</definedName>
    <definedName name="BExZZGIVJRHKETRE8HACEQE30128" localSheetId="18" hidden="1">#REF!</definedName>
    <definedName name="BExZZGIVJRHKETRE8HACEQE30128" hidden="1">#REF!</definedName>
    <definedName name="BExZZTK54OTLF2YB68BHGOS27GEN" localSheetId="18" hidden="1">#REF!</definedName>
    <definedName name="BExZZTK54OTLF2YB68BHGOS27GEN" hidden="1">#REF!</definedName>
    <definedName name="BExZZXB3JQQG4SIZS4MRU6NNW7HI" localSheetId="18" hidden="1">#REF!</definedName>
    <definedName name="BExZZXB3JQQG4SIZS4MRU6NNW7HI" hidden="1">#REF!</definedName>
    <definedName name="BExZZZEMIIFKMLLV4DJKX5TB9R5V" localSheetId="18" hidden="1">#REF!</definedName>
    <definedName name="BExZZZEMIIFKMLLV4DJKX5TB9R5V" hidden="1">#REF!</definedName>
    <definedName name="BG.print">#REF!</definedName>
    <definedName name="BGS_Cost_Scenario">[25]Assumptions!$E$33</definedName>
    <definedName name="BGS_Forecast">[40]Assumptions!#REF!</definedName>
    <definedName name="BGS_Rate">#REF!</definedName>
    <definedName name="BGS_RFP">[25]Assumptions!$E$36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19"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19"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19"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9"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#REF!</definedName>
    <definedName name="CEP_Amortization">'[41]JFJ-4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ASSES">#N/A</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#REF!</definedName>
    <definedName name="COMPAR_PRT_RNG">[10]Comparison!$B$8:$BT$170</definedName>
    <definedName name="compInc">[46]Inputs!$B$4</definedName>
    <definedName name="CONSOLDEFTAXBAL">#REF!</definedName>
    <definedName name="CONSOLDEFTAXSUM">#REF!</definedName>
    <definedName name="Consolid" localSheetId="19"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#REF!</definedName>
    <definedName name="Cost_of_Goods_Sold_CPM">#REF!</definedName>
    <definedName name="cost2001">[48]Input!$M$23</definedName>
    <definedName name="COUNTER">'[10]Macro Tables'!$C$21</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19"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19"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#REF!</definedName>
    <definedName name="Data06">#REF!</definedName>
    <definedName name="DATA1">'[50]New Accts 2009'!#REF!</definedName>
    <definedName name="DATA10">'[51]3640'!#REF!</definedName>
    <definedName name="DATA11">'[51]3640'!#REF!</definedName>
    <definedName name="DATA12">#REF!</definedName>
    <definedName name="DATA13">#REF!</definedName>
    <definedName name="DATA14">#REF!</definedName>
    <definedName name="DATA15">#REF!</definedName>
    <definedName name="DATA2">'[52]190100'!#REF!</definedName>
    <definedName name="DATA3">'[52]190100'!#REF!</definedName>
    <definedName name="DATA4">'[52]190100'!#REF!</definedName>
    <definedName name="DATA5">#REF!</definedName>
    <definedName name="DATA6">#REF!</definedName>
    <definedName name="DATA7">'[52]190100'!#REF!</definedName>
    <definedName name="DATA8">'[52]190100'!#REF!</definedName>
    <definedName name="DATA9">'[51]3640'!#REF!</definedName>
    <definedName name="data97">#REF!</definedName>
    <definedName name="_xlnm.Database">[53]DSUM!#REF!</definedName>
    <definedName name="Database_MI">#REF!</definedName>
    <definedName name="DATAFEEDER">[54]!DATAFEEDER</definedName>
    <definedName name="DATALINE">'[1]Header Data'!#REF!</definedName>
    <definedName name="Date" localSheetId="19" hidden="1">"b1"</definedName>
    <definedName name="Date" localSheetId="17" hidden="1">"b1"</definedName>
    <definedName name="Date" localSheetId="18" hidden="1">"b1"</definedName>
    <definedName name="Date">[55]Settings!$F$23</definedName>
    <definedName name="DATE1">#REF!</definedName>
    <definedName name="DATE2">#REF!</definedName>
    <definedName name="DATE3">#REF!</definedName>
    <definedName name="DATE4">#REF!</definedName>
    <definedName name="DateTime">#REF!</definedName>
    <definedName name="DB_CPK">#N/A</definedName>
    <definedName name="DB_CPK1">[56]FERCFACT!#REF!</definedName>
    <definedName name="DB_CPK2">#REF!</definedName>
    <definedName name="DB_CPK3">#REF!</definedName>
    <definedName name="DB_CUST">#N/A</definedName>
    <definedName name="DB_EGR">#N/A</definedName>
    <definedName name="DB_EGR1">[56]FERCFACT!#REF!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17"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19"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19"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#REF!</definedName>
    <definedName name="Deferral_Interest_Rate">[25]Assumptions!$H$14</definedName>
    <definedName name="Deferral_Recovery">'[41]JFJ-1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19" hidden="1">{#N/A,#N/A,FALSE,"CURRENT"}</definedName>
    <definedName name="delete" localSheetId="17" hidden="1">{#N/A,#N/A,FALSE,"CURRENT"}</definedName>
    <definedName name="delete" localSheetId="18"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19"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19"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19"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#REF!</definedName>
    <definedName name="DR">'[26]C. Input'!$F$23</definedName>
    <definedName name="DR_1">#N/A</definedName>
    <definedName name="dskdlss" localSheetId="19"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#REF!</definedName>
    <definedName name="dyqre101">#REF!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#REF!</definedName>
    <definedName name="Edison_Development_YR_2005">'[35]Aday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19"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19"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#REF!</definedName>
    <definedName name="EPRI">'[26]C. Input'!$F$203</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#REF!</definedName>
    <definedName name="ESPYMT">#REF!</definedName>
    <definedName name="EssOptions">"1100000000130100_11-          00"</definedName>
    <definedName name="EST_2005">#REF!</definedName>
    <definedName name="EST_BY_ACCT">#REF!</definedName>
    <definedName name="ETR">#REF!</definedName>
    <definedName name="EV__LASTREFTIME__" localSheetId="19" hidden="1">39826.8319444444</definedName>
    <definedName name="EV__LASTREFTIME__" localSheetId="17" hidden="1">39826.8319444444</definedName>
    <definedName name="EV__LASTREFTIME__" localSheetId="18" hidden="1">39826.8319444444</definedName>
    <definedName name="EV__LASTREFTIME__">39773.6430324074</definedName>
    <definedName name="exclude_cap">'[37]Input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19"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#REF!</definedName>
    <definedName name="FACTRS">#REF!</definedName>
    <definedName name="FAS109YTD">[23]December!#REF!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19"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19"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19"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19"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19"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#REF!</definedName>
    <definedName name="Final_Consolidation">#REF!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19"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9"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9"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9"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#REF!</definedName>
    <definedName name="fullyrcredit101">#REF!</definedName>
    <definedName name="fullyrcredit102">#REF!</definedName>
    <definedName name="fullyrcredit103">#REF!</definedName>
    <definedName name="fullyrcredit99">#REF!</definedName>
    <definedName name="fwrwerwerwerwer" localSheetId="19"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19"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9"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9"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9"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19"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#REF!</definedName>
    <definedName name="GR">#REF!</definedName>
    <definedName name="GR_PRT_RANGE">[10]Gross_Rec!$A$8:$R$52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#REF!</definedName>
    <definedName name="grtm1">[10]Print!$I$32</definedName>
    <definedName name="grtm2">[10]Print!$G$32</definedName>
    <definedName name="grtm3">[10]Print!$E$32</definedName>
    <definedName name="grtm4">[10]Print!$C$32</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19"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19"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#REF!</definedName>
    <definedName name="hjfjghjgfjgj" localSheetId="19"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9"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#REF!</definedName>
    <definedName name="howToChange">#REF!</definedName>
    <definedName name="howToCheck">#REF!</definedName>
    <definedName name="HPNTSR">'[26]A.2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#REF!</definedName>
    <definedName name="int_rate">#REF!</definedName>
    <definedName name="intang_afudc910">[67]criteria!$A$5:$B$6</definedName>
    <definedName name="INTCUT">#REF!</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#REF!</definedName>
    <definedName name="Inv_wp">#REF!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#REF!</definedName>
    <definedName name="JanCP">#REF!</definedName>
    <definedName name="JE">#REF!</definedName>
    <definedName name="JE33WP">#REF!</definedName>
    <definedName name="jeff" localSheetId="19"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9"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19"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19"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19"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19"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[70]Lists!$A$2:$A$4</definedName>
    <definedName name="L4_A">[71]total!#REF!</definedName>
    <definedName name="L4_B">[71]total!#REF!</definedName>
    <definedName name="LabHour">#REF!</definedName>
    <definedName name="Labor">#REF!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{"'Metretek HTML'!$A$7:$W$42"}</definedName>
    <definedName name="ll" hidden="1">{#N/A,#N/A,FALSE,"EMPPAY"}</definedName>
    <definedName name="LOAD">#REF!</definedName>
    <definedName name="LOAD_4">[71]total!#REF!</definedName>
    <definedName name="Loan_from_Affiliate">#REF!</definedName>
    <definedName name="lob">#REF!</definedName>
    <definedName name="lobcolumn">#REF!</definedName>
    <definedName name="LOCATE3">#N/A</definedName>
    <definedName name="LOCTABLE">#REF!</definedName>
    <definedName name="LOCTextLen">#REF!</definedName>
    <definedName name="loilpuioopy" localSheetId="19"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#REF!</definedName>
    <definedName name="LRG_GJ">#REF!</definedName>
    <definedName name="lsdfj" localSheetId="19"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9"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9"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9"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9"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9"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9"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19" hidden="1">{#N/A,#N/A,FALSE,"EMPPAY"}</definedName>
    <definedName name="MAY" localSheetId="17" hidden="1">{#N/A,#N/A,FALSE,"EMPPAY"}</definedName>
    <definedName name="MAY" localSheetId="18" hidden="1">{#N/A,#N/A,FALSE,"EMPPAY"}</definedName>
    <definedName name="MAY">#REF!</definedName>
    <definedName name="MC">#REF!</definedName>
    <definedName name="MCDATA">'[72]MTHLY MEAS.'!#REF!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#REF!</definedName>
    <definedName name="MTH">#N/A</definedName>
    <definedName name="N_A">'[26]C. Input'!#REF!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#REF!</definedName>
    <definedName name="NEW_YEAR">#REF!</definedName>
    <definedName name="NewHire">8500</definedName>
    <definedName name="NEXT_STEP">[10]Comparison!$CK$14</definedName>
    <definedName name="NINE">#N/A</definedName>
    <definedName name="Node">[76]Hierarchy!$B$2:$E$16455</definedName>
    <definedName name="NoErrMsg">#REF!</definedName>
    <definedName name="non_cap_int">'[37]Input Page'!$E$15</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19"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#REF!</definedName>
    <definedName name="Nuclear_Decommissioning_Trust_Funds">#REF!</definedName>
    <definedName name="Nuclear_Secur_Date">[25]Assumptions!$E$21</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TR_TST">'[26]A.2 PTP'!$P$129</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#REF!</definedName>
    <definedName name="PGAUG">#REF!</definedName>
    <definedName name="pgprct">'[29]Percent Read YTD '!#REF!</definedName>
    <definedName name="PGPSA">#REF!</definedName>
    <definedName name="Phase">'[10]Macro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#REF!</definedName>
    <definedName name="Print.selection.print">#REF!</definedName>
    <definedName name="PRINT_1">#REF!</definedName>
    <definedName name="PRINT_2">#REF!</definedName>
    <definedName name="PRINT_3">#REF!</definedName>
    <definedName name="Print_99_IS">'[75]2nd qtr 2000'!$D$1:$I$58,'[75]2nd qtr 2000'!$N$1:$T$58,'[75]2nd qtr 2000'!$AA$1:$AH$57</definedName>
    <definedName name="_xlnm.Print_Area" localSheetId="20">'11- Depr Rates'!$A$1:$E$48</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7">'2 - Other Tax'!$A$1:$H$71</definedName>
    <definedName name="_xlnm.Print_Area" localSheetId="12">'5 - Cost Support'!$A$1:$Q$281</definedName>
    <definedName name="_xlnm.Print_Area" localSheetId="0">'ATT H-2A'!$A$1:$H$374</definedName>
    <definedName name="_xlnm.Print_Area" localSheetId="10">'Exh F - AA-BL Items'!$A$4:$Q$424</definedName>
    <definedName name="_xlnm.Print_Area">#REF!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_xlnm.Print_Titles" localSheetId="12">'5 - Cost Support'!$1:$3</definedName>
    <definedName name="_xlnm.Print_Titles" localSheetId="15">'7 - Cap Add WS'!$A:$B</definedName>
    <definedName name="_xlnm.Print_Titles" localSheetId="0">'ATT H-2A'!$A:$G</definedName>
    <definedName name="_xlnm.Print_Titles" localSheetId="9">'Exh E - Cap Add Worksheet'!$A:$B</definedName>
    <definedName name="Print_Titles_MI">'[84]DACTIVE$'!$A$1:$IV$4,'[84]DACTIVE$'!$A$1:$A$65536</definedName>
    <definedName name="PRINT2">#REF!</definedName>
    <definedName name="printarea">#REF!</definedName>
    <definedName name="PrintareaDec">'[85]kWh-Mcf'!$E$97,'[85]kWh-Mcf'!$A$81:$E$118,'[85]kWh-Mcf'!$AM$86:$AO$118</definedName>
    <definedName name="PRINTFILE">#REF!</definedName>
    <definedName name="printyearfrom">#REF!</definedName>
    <definedName name="printyearto">#REF!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#REF!</definedName>
    <definedName name="Projection">'[30]Appendix A'!$H$7</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'[10]Gross_Rec:QRE''s'!$B$53:$N$112</definedName>
    <definedName name="QRE_HELP">#REF!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{"'Metretek HTML'!$A$7:$W$42"}</definedName>
    <definedName name="RA">'[26]C. Input'!$F$343</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19"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[19]DEPR96!#REF!</definedName>
    <definedName name="RPT_B">#REF!</definedName>
    <definedName name="RPT_G">#REF!</definedName>
    <definedName name="RPTX">#REF!</definedName>
    <definedName name="RRE">'[26]C. Input'!$F$207</definedName>
    <definedName name="rrrr" localSheetId="19"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#REF!</definedName>
    <definedName name="RTT">#REF!</definedName>
    <definedName name="RTX">'[26]C. Input'!$F$222</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19"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19"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9"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9"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9"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9"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9"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#REF!</definedName>
    <definedName name="September09Billed" localSheetId="19"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19"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9"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19"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Collapse_Columns</definedName>
    <definedName name="shit" hidden="1">{"PRINT",#N/A,TRUE,"APPA";"PRINT",#N/A,TRUE,"APS";"PRINT",#N/A,TRUE,"BHPL";"PRINT",#N/A,TRUE,"BHPL2";"PRINT",#N/A,TRUE,"CDWR";"PRINT",#N/A,TRUE,"EWEB";"PRINT",#N/A,TRUE,"LADWP";"PRINT",#N/A,TRUE,"NEVBASE"}</definedName>
    <definedName name="shiva" localSheetId="19"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19"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adj" localSheetId="0" hidden="1">'ATT H-2A'!#REF!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lin" hidden="1">0</definedName>
    <definedName name="solver_neg" localSheetId="0" hidden="1">2</definedName>
    <definedName name="solver_num" localSheetId="0" hidden="1">0</definedName>
    <definedName name="solver_num" hidden="1">0</definedName>
    <definedName name="solver_nwt" localSheetId="0" hidden="1">1</definedName>
    <definedName name="solver_opt" localSheetId="19" hidden="1">#REF!</definedName>
    <definedName name="solver_opt" localSheetId="18" hidden="1">#REF!</definedName>
    <definedName name="solver_opt" localSheetId="0" hidden="1">'ATT H-2A'!#REF!</definedName>
    <definedName name="solver_opt" hidden="1">#REF!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typ" hidden="1">1</definedName>
    <definedName name="solver_val" localSheetId="0" hidden="1">981598</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#REF!</definedName>
    <definedName name="stats">#REF!</definedName>
    <definedName name="statsrevised" localSheetId="19"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19"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19"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#REF!</definedName>
    <definedName name="sysOpImprov">[48]Input!#REF!</definedName>
    <definedName name="sysOpYears">[48]Input!#REF!</definedName>
    <definedName name="t_and_d_exp">'[37]Input Page'!#REF!</definedName>
    <definedName name="TABLE">#REF!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#REF!</definedName>
    <definedName name="Tax_Rate">#REF!</definedName>
    <definedName name="Tax1997b">#REF!</definedName>
    <definedName name="TAXES">#REF!</definedName>
    <definedName name="Taxrate">'[91]Case study '!$C$28</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#REF!</definedName>
    <definedName name="Temp_Investment___Affiliate">#REF!</definedName>
    <definedName name="TEN">#N/A</definedName>
    <definedName name="TEQ">'[26]C. Input'!$F$277</definedName>
    <definedName name="TEST" localSheetId="19" hidden="1">{#N/A,#N/A,FALSE,"EMPPAY"}</definedName>
    <definedName name="TEST" localSheetId="17" hidden="1">{#N/A,#N/A,FALSE,"EMPPAY"}</definedName>
    <definedName name="TEST" localSheetId="18"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#REF!</definedName>
    <definedName name="TESTVKEY">#REF!</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19"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19" hidden="1">"S:\74639\03RET\(417) 2004 Cost Projection\"</definedName>
    <definedName name="TP_Footer_Path" localSheetId="17" hidden="1">"S:\74639\03RET\(417) 2004 Cost Projection\"</definedName>
    <definedName name="TP_Footer_Path" localSheetId="18" hidden="1">"S:\74639\03RET\(417) 2004 Cost Projection\"</definedName>
    <definedName name="TP_Footer_Path">"S:\04291\05ret\othsys\team\disclosure\"</definedName>
    <definedName name="TP_Footer_Path1" hidden="1">"S:\74639\03RET\(852) Pension Val - OOS\Contribution Allocations\"</definedName>
    <definedName name="TP_Footer_User" localSheetId="19" hidden="1">"Mary Lou Barrios"</definedName>
    <definedName name="TP_Footer_User" localSheetId="17" hidden="1">"Mary Lou Barrios"</definedName>
    <definedName name="TP_Footer_User" localSheetId="18"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19"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#REF!</definedName>
    <definedName name="Utility_Plant_Expenditures">#REF!</definedName>
    <definedName name="Utility_Plant_Retirements__input">#REF!</definedName>
    <definedName name="UTILRANGE">#REF!</definedName>
    <definedName name="v">[94]Cover!$A$9</definedName>
    <definedName name="valDate">[46]Inputs!$B$1</definedName>
    <definedName name="Value" hidden="1">{"assumptions",#N/A,FALSE,"Scenario 1";"valuation",#N/A,FALSE,"Scenario 1"}</definedName>
    <definedName name="vcbcvbcv" localSheetId="19"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19" hidden="1">"a1"</definedName>
    <definedName name="Version" localSheetId="17" hidden="1">"a1"</definedName>
    <definedName name="Version" localSheetId="18"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{"'Metretek HTML'!$A$7:$W$42"}</definedName>
    <definedName name="WELL_HEAD_ESTIMATES">#REF!</definedName>
    <definedName name="wer" localSheetId="19"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19"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#REF!</definedName>
    <definedName name="Working_Capital_Changes">#REF!</definedName>
    <definedName name="Working_Capital_CPM">#REF!</definedName>
    <definedName name="WORKSHEET">#REF!</definedName>
    <definedName name="WORKSHEET2">#REF!</definedName>
    <definedName name="wrn" localSheetId="19"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19" hidden="1">{#N/A,#N/A,FALSE,"CURRENT"}</definedName>
    <definedName name="wrn.722." localSheetId="17" hidden="1">{#N/A,#N/A,FALSE,"CURRENT"}</definedName>
    <definedName name="wrn.722." localSheetId="18" hidden="1">{#N/A,#N/A,FALSE,"CURRENT"}</definedName>
    <definedName name="wrn.722." hidden="1">{#N/A,#N/A,FALSE,"CURRENT"}</definedName>
    <definedName name="wrn.Aging._.and._.Trend._.Analysis." hidden="1">{#N/A,#N/A,FALSE,"Aging Summary";#N/A,#N/A,FALSE,"Ratio Analysis";#N/A,#N/A,FALSE,"Test 120 Day Accts";#N/A,#N/A,FALSE,"Tickmarks"}</definedName>
    <definedName name="wrn.AGT." localSheetId="19" hidden="1">{"AGT",#N/A,FALSE,"Revenue"}</definedName>
    <definedName name="wrn.AGT." localSheetId="17" hidden="1">{"AGT",#N/A,FALSE,"Revenue"}</definedName>
    <definedName name="wrn.AGT." localSheetId="18"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19" hidden="1">{#N/A,#N/A,FALSE,"ARREC"}</definedName>
    <definedName name="wrn.ARREC." hidden="1">{#N/A,#N/A,FALSE,"ARREC"}</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19"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19"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19" hidden="1">{"Retail CP pg1",#N/A,FALSE,"FACTOR3";"Retail CP pg2",#N/A,FALSE,"FACTOR3";"Retail CP pg3",#N/A,FALSE,"FACTOR3"}</definedName>
    <definedName name="wrn.CP._.Demand." hidden="1">{"Retail CP pg1",#N/A,FALSE,"FACTOR3";"Retail CP pg2",#N/A,FALSE,"FACTOR3";"Retail CP pg3",#N/A,FALSE,"FACTOR3"}</definedName>
    <definedName name="wrn.CP._.Demand2." localSheetId="19" hidden="1">{"Retail CP pg1",#N/A,FALSE,"FACTOR3";"Retail CP pg2",#N/A,FALSE,"FACTOR3";"Retail CP pg3",#N/A,FALSE,"FACTOR3"}</definedName>
    <definedName name="wrn.CP._.Demand2." hidden="1">{"Retail CP pg1",#N/A,FALSE,"FACTOR3";"Retail CP pg2",#N/A,FALSE,"FACTOR3";"Retail CP pg3",#N/A,FALSE,"FACTOR3"}</definedName>
    <definedName name="wrn.Data._.dump." localSheetId="19" hidden="1">{"Input Data",#N/A,FALSE,"Input";"Income and Cash Flow",#N/A,FALSE,"Calculations"}</definedName>
    <definedName name="wrn.Data._.dump." localSheetId="17" hidden="1">{"Input Data",#N/A,FALSE,"Input";"Income and Cash Flow",#N/A,FALSE,"Calculations"}</definedName>
    <definedName name="wrn.Data._.dump." localSheetId="18" hidden="1">{"Input Data",#N/A,FALSE,"Input";"Income and Cash Flow",#N/A,FALSE,"Calculations"}</definedName>
    <definedName name="wrn.Data._.dump." hidden="1">{"Input Data",#N/A,FALSE,"Input";"Income and Cash Flow",#N/A,FALSE,"Calculations"}</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19"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19" hidden="1">{"Print Empty Template",#N/A,FALSE,"Input"}</definedName>
    <definedName name="wrn.For._.filling._.out._.assessments." localSheetId="17" hidden="1">{"Print Empty Template",#N/A,FALSE,"Input"}</definedName>
    <definedName name="wrn.For._.filling._.out._.assessments." localSheetId="18" hidden="1">{"Print Empty Template",#N/A,FALSE,"Input"}</definedName>
    <definedName name="wrn.For._.filling._.out._.assessments." hidden="1">{"Print Empty Template",#N/A,FALSE,"Input"}</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19"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localSheetId="19" hidden="1">{#N/A,#N/A,FALSE,"Work performed";#N/A,#N/A,FALSE,"Resources"}</definedName>
    <definedName name="wrn.Report." localSheetId="17" hidden="1">{#N/A,#N/A,FALSE,"Work performed";#N/A,#N/A,FALSE,"Resources"}</definedName>
    <definedName name="wrn.Report." localSheetId="18" hidden="1">{#N/A,#N/A,FALSE,"Work performed";#N/A,#N/A,FALSE,"Resources"}</definedName>
    <definedName name="wrn.Report." hidden="1">{#N/A,#N/A,FALSE,"Work performed";#N/A,#N/A,FALSE,"Resources"}</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19" hidden="1">{#N/A,#N/A,FALSE,"Work performed";#N/A,#N/A,FALSE,"Resources"}</definedName>
    <definedName name="wrn.Supporting._.Calculations." localSheetId="17" hidden="1">{#N/A,#N/A,FALSE,"Work performed";#N/A,#N/A,FALSE,"Resources"}</definedName>
    <definedName name="wrn.Supporting._.Calculations." localSheetId="18" hidden="1">{#N/A,#N/A,FALSE,"Work performed";#N/A,#N/A,FALSE,"Resources"}</definedName>
    <definedName name="wrn.Supporting._.Calculations." hidden="1">{#N/A,#N/A,FALSE,"Work performed";#N/A,#N/A,FALSE,"Resources"}</definedName>
    <definedName name="wrn.Tax._.Accrual." localSheetId="19"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8"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'[93]MISO Cover'!$I$201</definedName>
    <definedName name="xa">{"'Metretek HTML'!$A$7:$W$42"}</definedName>
    <definedName name="XLRG_GE">#REF!</definedName>
    <definedName name="XLRG_GJ">#REF!</definedName>
    <definedName name="xls">{"'Metretek HTML'!$A$7:$W$42"}</definedName>
    <definedName name="XO">{"'Metretek HTML'!$A$7:$W$42"}</definedName>
    <definedName name="xs">{"'Metretek HTML'!$A$7:$W$42"}</definedName>
    <definedName name="xTc">'[97]PMG Annual'!#REF!</definedName>
    <definedName name="xx" localSheetId="19" hidden="1">{#N/A,#N/A,FALSE,"EMPPAY"}</definedName>
    <definedName name="xx" localSheetId="17" hidden="1">{#N/A,#N/A,FALSE,"EMPPAY"}</definedName>
    <definedName name="xx" localSheetId="18" hidden="1">{#N/A,#N/A,FALSE,"EMPPAY"}</definedName>
    <definedName name="xx">{"'Metretek HTML'!$A$7:$W$42"}</definedName>
    <definedName name="xxx" localSheetId="19"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localSheetId="19"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19"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{"'Metretek HTML'!$A$7:$W$42"}</definedName>
    <definedName name="z" localSheetId="19"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F04A2B9A_C6FE_4FEB_AD1E_2CF9AC309BE4_.wvu.PrintArea" localSheetId="17" hidden="1">'9 - Rate Base'!$A$1:$M$49</definedName>
    <definedName name="Z_F04A2B9A_C6FE_4FEB_AD1E_2CF9AC309BE4_.wvu.PrintArea" localSheetId="18" hidden="1">'9A - Gross Plant &amp; ARO'!$A$1:$O$25</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7" i="68" l="1"/>
  <c r="Q158" i="92"/>
  <c r="P158" i="92"/>
  <c r="O158" i="92"/>
  <c r="K158" i="92"/>
  <c r="K125" i="92"/>
  <c r="O125" i="92"/>
  <c r="P125" i="92"/>
  <c r="Q125" i="92"/>
  <c r="Q92" i="92"/>
  <c r="P92" i="92"/>
  <c r="O92" i="92"/>
  <c r="K92" i="92"/>
  <c r="K59" i="92"/>
  <c r="P59" i="92"/>
  <c r="O59" i="92"/>
  <c r="Q59" i="92"/>
  <c r="Q26" i="92"/>
  <c r="P26" i="92"/>
  <c r="O26" i="92"/>
  <c r="K26" i="92"/>
  <c r="I30" i="65" l="1"/>
  <c r="J25" i="83"/>
  <c r="H82" i="65" l="1"/>
  <c r="E59" i="93" l="1"/>
  <c r="E29" i="70" l="1"/>
  <c r="G61" i="93"/>
  <c r="I62" i="93"/>
  <c r="D78" i="48"/>
  <c r="E53" i="93" l="1"/>
  <c r="E192" i="93" l="1"/>
  <c r="E22" i="93" l="1"/>
  <c r="E208" i="93" l="1"/>
  <c r="E207" i="93"/>
  <c r="E205" i="93"/>
  <c r="E204" i="93"/>
  <c r="E203" i="93"/>
  <c r="E202" i="93"/>
  <c r="E201" i="93"/>
  <c r="E200" i="93"/>
  <c r="E199" i="93"/>
  <c r="E198" i="93"/>
  <c r="E197" i="93"/>
  <c r="E195" i="93"/>
  <c r="E194" i="93"/>
  <c r="E193" i="93"/>
  <c r="E191" i="93"/>
  <c r="E196" i="93" l="1"/>
  <c r="E206" i="93"/>
  <c r="M54" i="96" l="1"/>
  <c r="M36" i="96"/>
  <c r="M27" i="96"/>
  <c r="H206" i="94" l="1"/>
  <c r="H60" i="93" l="1"/>
  <c r="E50" i="93"/>
  <c r="E48" i="93"/>
  <c r="E47" i="93"/>
  <c r="E46" i="93"/>
  <c r="E43" i="93"/>
  <c r="E42" i="93"/>
  <c r="E41" i="93"/>
  <c r="E40" i="93"/>
  <c r="E39" i="93"/>
  <c r="E38" i="93"/>
  <c r="E44" i="93"/>
  <c r="E45" i="93"/>
  <c r="E49" i="93"/>
  <c r="E51" i="93"/>
  <c r="E52" i="93"/>
  <c r="E77" i="93"/>
  <c r="E37" i="93" l="1"/>
  <c r="E36" i="93"/>
  <c r="E190" i="93" l="1"/>
  <c r="E210" i="93" s="1"/>
  <c r="E302" i="94" l="1"/>
  <c r="H278" i="94"/>
  <c r="F278" i="94"/>
  <c r="E278" i="94" s="1"/>
  <c r="E209" i="94"/>
  <c r="E208" i="94"/>
  <c r="E207" i="94"/>
  <c r="E206" i="94"/>
  <c r="E205" i="94"/>
  <c r="E204" i="94"/>
  <c r="E203" i="94"/>
  <c r="E202" i="94"/>
  <c r="E201" i="94"/>
  <c r="E200" i="94"/>
  <c r="E199" i="94"/>
  <c r="E198" i="94"/>
  <c r="E197" i="94"/>
  <c r="E196" i="94"/>
  <c r="E195" i="94"/>
  <c r="E194" i="94"/>
  <c r="E193" i="94"/>
  <c r="E192" i="94"/>
  <c r="E191" i="94"/>
  <c r="E190" i="94"/>
  <c r="E189" i="94"/>
  <c r="E188" i="94"/>
  <c r="E187" i="94"/>
  <c r="E144" i="94"/>
  <c r="E121" i="94"/>
  <c r="E120" i="94"/>
  <c r="E119" i="94"/>
  <c r="E118" i="94"/>
  <c r="E117" i="94"/>
  <c r="I57" i="94" l="1"/>
  <c r="F57" i="94"/>
  <c r="H56" i="94"/>
  <c r="F56" i="94"/>
  <c r="H55" i="94"/>
  <c r="F55" i="94"/>
  <c r="E50" i="94"/>
  <c r="E49" i="94"/>
  <c r="E48" i="94"/>
  <c r="E47" i="94"/>
  <c r="E46" i="94"/>
  <c r="E45" i="94"/>
  <c r="E44" i="94"/>
  <c r="E43" i="94"/>
  <c r="E42" i="94"/>
  <c r="E41" i="94"/>
  <c r="E40" i="94"/>
  <c r="E39" i="94"/>
  <c r="E38" i="94"/>
  <c r="E37" i="94"/>
  <c r="F52" i="94"/>
  <c r="G52" i="94"/>
  <c r="H52" i="94"/>
  <c r="H59" i="94" s="1"/>
  <c r="I52" i="94"/>
  <c r="E36" i="94" l="1"/>
  <c r="E52" i="94" s="1"/>
  <c r="HU91" i="72" l="1"/>
  <c r="HU92" i="72" s="1"/>
  <c r="HU90" i="72"/>
  <c r="HU89" i="72"/>
  <c r="HU73" i="72"/>
  <c r="HU74" i="72" s="1"/>
  <c r="HT73" i="72"/>
  <c r="HT74" i="72" s="1"/>
  <c r="HU71" i="72"/>
  <c r="HU72" i="72" s="1"/>
  <c r="HT71" i="72"/>
  <c r="HT72" i="72"/>
  <c r="HT31" i="72"/>
  <c r="HV74" i="72" l="1"/>
  <c r="HV73" i="72"/>
  <c r="HV72" i="72"/>
  <c r="HV71" i="72"/>
  <c r="HU75" i="72"/>
  <c r="HU76" i="72" s="1"/>
  <c r="HU77" i="72" s="1"/>
  <c r="HU79" i="72" s="1"/>
  <c r="HU81" i="72" s="1"/>
  <c r="HU83" i="72" s="1"/>
  <c r="HU85" i="72" s="1"/>
  <c r="HU87" i="72" s="1"/>
  <c r="HU78" i="72" l="1"/>
  <c r="HU80" i="72" s="1"/>
  <c r="HU82" i="72" s="1"/>
  <c r="HU84" i="72" s="1"/>
  <c r="HU86" i="72" s="1"/>
  <c r="HU88" i="72" s="1"/>
  <c r="J31" i="84" l="1"/>
  <c r="I31" i="84"/>
  <c r="F31" i="84"/>
  <c r="E31" i="84"/>
  <c r="D31" i="84"/>
  <c r="C31" i="84"/>
  <c r="G13" i="65"/>
  <c r="C11" i="84"/>
  <c r="H11" i="84"/>
  <c r="E11" i="84"/>
  <c r="D11" i="84"/>
  <c r="G16" i="65"/>
  <c r="HT75" i="72" l="1"/>
  <c r="HT76" i="72" l="1"/>
  <c r="HV76" i="72" s="1"/>
  <c r="HV75" i="72"/>
  <c r="HT77" i="72" l="1"/>
  <c r="HV77" i="72" l="1"/>
  <c r="HT78" i="72"/>
  <c r="HV78" i="72" s="1"/>
  <c r="HT79" i="72" l="1"/>
  <c r="HT80" i="72" l="1"/>
  <c r="HV80" i="72" s="1"/>
  <c r="HV79" i="72"/>
  <c r="HT81" i="72" l="1"/>
  <c r="HT82" i="72" l="1"/>
  <c r="HV82" i="72" s="1"/>
  <c r="HV81" i="72"/>
  <c r="HT83" i="72" l="1"/>
  <c r="HT84" i="72" l="1"/>
  <c r="HV84" i="72" s="1"/>
  <c r="HV83" i="72"/>
  <c r="HT85" i="72" l="1"/>
  <c r="HT86" i="72" l="1"/>
  <c r="HV86" i="72" s="1"/>
  <c r="HV85" i="72"/>
  <c r="HT87" i="72" l="1"/>
  <c r="HV87" i="72" l="1"/>
  <c r="HT88" i="72"/>
  <c r="HV88" i="72" s="1"/>
  <c r="HT89" i="72" l="1"/>
  <c r="HV89" i="72" l="1"/>
  <c r="HT90" i="72"/>
  <c r="HV90" i="72" s="1"/>
  <c r="HT91" i="72" l="1"/>
  <c r="HT92" i="72" l="1"/>
  <c r="HV92" i="72" s="1"/>
  <c r="HV91" i="72"/>
  <c r="D46" i="71" l="1"/>
  <c r="D40" i="71"/>
  <c r="D17" i="71" l="1"/>
  <c r="D7" i="71" l="1"/>
  <c r="I46" i="65" l="1"/>
  <c r="I40" i="65" s="1"/>
  <c r="H189" i="48" l="1"/>
  <c r="EE30" i="72" l="1"/>
  <c r="EI30" i="72"/>
  <c r="EM30" i="72"/>
  <c r="ER23" i="72"/>
  <c r="ES23" i="72" s="1"/>
  <c r="ET23" i="72" s="1"/>
  <c r="EQ69" i="72"/>
  <c r="EQ70" i="72" s="1"/>
  <c r="EU69" i="72"/>
  <c r="EU70" i="72" s="1"/>
  <c r="EU31" i="72"/>
  <c r="EV69" i="72" s="1"/>
  <c r="EV70" i="72" s="1"/>
  <c r="EW70" i="72" s="1"/>
  <c r="EU71" i="72" s="1"/>
  <c r="EV23" i="72"/>
  <c r="EW23" i="72" s="1"/>
  <c r="EX23" i="72" s="1"/>
  <c r="EV157" i="72" l="1"/>
  <c r="EV158" i="72" s="1"/>
  <c r="EV135" i="72"/>
  <c r="EV136" i="72" s="1"/>
  <c r="EV95" i="72"/>
  <c r="EV96" i="72" s="1"/>
  <c r="EV143" i="72"/>
  <c r="EV144" i="72" s="1"/>
  <c r="EV103" i="72"/>
  <c r="EV104" i="72" s="1"/>
  <c r="EV119" i="72"/>
  <c r="EV120" i="72" s="1"/>
  <c r="EV97" i="72"/>
  <c r="EV98" i="72" s="1"/>
  <c r="EV121" i="72"/>
  <c r="EV122" i="72" s="1"/>
  <c r="EV145" i="72"/>
  <c r="EV146" i="72" s="1"/>
  <c r="EV91" i="72"/>
  <c r="EV92" i="72" s="1"/>
  <c r="EV99" i="72"/>
  <c r="EV100" i="72" s="1"/>
  <c r="EV107" i="72"/>
  <c r="EV108" i="72" s="1"/>
  <c r="EV115" i="72"/>
  <c r="EV116" i="72" s="1"/>
  <c r="EV123" i="72"/>
  <c r="EV124" i="72" s="1"/>
  <c r="EV131" i="72"/>
  <c r="EV132" i="72" s="1"/>
  <c r="EV139" i="72"/>
  <c r="EV140" i="72" s="1"/>
  <c r="EV147" i="72"/>
  <c r="EV148" i="72" s="1"/>
  <c r="EV93" i="72"/>
  <c r="EV94" i="72" s="1"/>
  <c r="EV101" i="72"/>
  <c r="EV102" i="72" s="1"/>
  <c r="EV109" i="72"/>
  <c r="EV110" i="72" s="1"/>
  <c r="EV117" i="72"/>
  <c r="EV118" i="72" s="1"/>
  <c r="EV125" i="72"/>
  <c r="EV126" i="72" s="1"/>
  <c r="EV133" i="72"/>
  <c r="EV134" i="72" s="1"/>
  <c r="EV141" i="72"/>
  <c r="EV142" i="72" s="1"/>
  <c r="EV149" i="72"/>
  <c r="EV150" i="72" s="1"/>
  <c r="EV151" i="72" s="1"/>
  <c r="EV152" i="72" s="1"/>
  <c r="EV153" i="72" s="1"/>
  <c r="EV154" i="72" s="1"/>
  <c r="EV155" i="72" s="1"/>
  <c r="EV156" i="72" s="1"/>
  <c r="EV111" i="72"/>
  <c r="EV112" i="72" s="1"/>
  <c r="EV127" i="72"/>
  <c r="EV128" i="72" s="1"/>
  <c r="EV71" i="72"/>
  <c r="EV72" i="72" s="1"/>
  <c r="EV73" i="72" s="1"/>
  <c r="EV74" i="72" s="1"/>
  <c r="EV75" i="72" s="1"/>
  <c r="EV76" i="72" s="1"/>
  <c r="EV77" i="72" s="1"/>
  <c r="EV79" i="72" s="1"/>
  <c r="EV81" i="72" s="1"/>
  <c r="EV83" i="72" s="1"/>
  <c r="EV85" i="72" s="1"/>
  <c r="EV87" i="72" s="1"/>
  <c r="EV89" i="72" s="1"/>
  <c r="EV105" i="72"/>
  <c r="EV106" i="72" s="1"/>
  <c r="EV113" i="72"/>
  <c r="EV114" i="72" s="1"/>
  <c r="EV129" i="72"/>
  <c r="EV130" i="72" s="1"/>
  <c r="EV137" i="72"/>
  <c r="EV138" i="72" s="1"/>
  <c r="EU72" i="72"/>
  <c r="EW72" i="72" s="1"/>
  <c r="EW71" i="72"/>
  <c r="EW69" i="72"/>
  <c r="EV78" i="72" l="1"/>
  <c r="EV80" i="72" s="1"/>
  <c r="EV82" i="72" s="1"/>
  <c r="EV84" i="72" s="1"/>
  <c r="EV86" i="72" s="1"/>
  <c r="EV88" i="72" s="1"/>
  <c r="EV90" i="72" s="1"/>
  <c r="EU73" i="72"/>
  <c r="EU74" i="72" l="1"/>
  <c r="EW74" i="72" s="1"/>
  <c r="EW73" i="72"/>
  <c r="EU75" i="72" l="1"/>
  <c r="EU76" i="72" l="1"/>
  <c r="EW76" i="72" s="1"/>
  <c r="EW75" i="72"/>
  <c r="EU77" i="72" l="1"/>
  <c r="EU78" i="72" l="1"/>
  <c r="EW78" i="72" s="1"/>
  <c r="EW77" i="72"/>
  <c r="EU79" i="72" l="1"/>
  <c r="EU80" i="72" l="1"/>
  <c r="EW80" i="72" s="1"/>
  <c r="EW79" i="72"/>
  <c r="EU81" i="72" l="1"/>
  <c r="EU82" i="72" l="1"/>
  <c r="EW82" i="72" s="1"/>
  <c r="EW81" i="72"/>
  <c r="EU83" i="72" l="1"/>
  <c r="EU84" i="72" l="1"/>
  <c r="EW84" i="72" s="1"/>
  <c r="EW83" i="72"/>
  <c r="EU85" i="72" l="1"/>
  <c r="EU86" i="72" l="1"/>
  <c r="EW86" i="72" s="1"/>
  <c r="EW85" i="72"/>
  <c r="EU87" i="72" l="1"/>
  <c r="EU88" i="72" l="1"/>
  <c r="EW88" i="72" s="1"/>
  <c r="EW87" i="72"/>
  <c r="EU89" i="72" l="1"/>
  <c r="EU90" i="72" l="1"/>
  <c r="EW90" i="72" s="1"/>
  <c r="EW89" i="72"/>
  <c r="EU91" i="72" l="1"/>
  <c r="EU92" i="72" l="1"/>
  <c r="EW92" i="72" s="1"/>
  <c r="EW91" i="72"/>
  <c r="EU93" i="72" l="1"/>
  <c r="EU94" i="72" l="1"/>
  <c r="EW94" i="72" s="1"/>
  <c r="EW93" i="72"/>
  <c r="EU95" i="72" l="1"/>
  <c r="EU96" i="72" l="1"/>
  <c r="EW96" i="72" s="1"/>
  <c r="EW95" i="72"/>
  <c r="EU97" i="72" l="1"/>
  <c r="EU98" i="72" l="1"/>
  <c r="EW98" i="72" s="1"/>
  <c r="EW97" i="72"/>
  <c r="EU99" i="72" l="1"/>
  <c r="EU100" i="72" l="1"/>
  <c r="EW100" i="72" s="1"/>
  <c r="EW99" i="72"/>
  <c r="EU101" i="72" l="1"/>
  <c r="EU102" i="72" l="1"/>
  <c r="EW102" i="72" s="1"/>
  <c r="EW101" i="72"/>
  <c r="EU103" i="72" l="1"/>
  <c r="EU104" i="72" l="1"/>
  <c r="EW104" i="72" s="1"/>
  <c r="EW103" i="72"/>
  <c r="EU105" i="72" l="1"/>
  <c r="EU106" i="72" l="1"/>
  <c r="EW106" i="72" s="1"/>
  <c r="EW105" i="72"/>
  <c r="EU107" i="72" l="1"/>
  <c r="EU108" i="72" l="1"/>
  <c r="EW108" i="72" s="1"/>
  <c r="EW107" i="72"/>
  <c r="EU109" i="72" l="1"/>
  <c r="EU110" i="72" l="1"/>
  <c r="EW110" i="72" s="1"/>
  <c r="EW109" i="72"/>
  <c r="EU111" i="72" l="1"/>
  <c r="EU112" i="72" l="1"/>
  <c r="EW112" i="72" s="1"/>
  <c r="EW111" i="72"/>
  <c r="EU113" i="72" l="1"/>
  <c r="EU114" i="72" l="1"/>
  <c r="EW114" i="72" s="1"/>
  <c r="EW113" i="72"/>
  <c r="EU115" i="72" l="1"/>
  <c r="EU116" i="72" l="1"/>
  <c r="EW116" i="72" s="1"/>
  <c r="EW115" i="72"/>
  <c r="EU117" i="72" l="1"/>
  <c r="EU118" i="72" l="1"/>
  <c r="EW118" i="72" s="1"/>
  <c r="EW117" i="72"/>
  <c r="EU119" i="72" l="1"/>
  <c r="EU120" i="72" l="1"/>
  <c r="EW120" i="72" s="1"/>
  <c r="EW119" i="72"/>
  <c r="EU121" i="72" l="1"/>
  <c r="EU122" i="72" l="1"/>
  <c r="EW122" i="72" s="1"/>
  <c r="EW121" i="72"/>
  <c r="EU123" i="72" l="1"/>
  <c r="EU124" i="72" l="1"/>
  <c r="EW124" i="72" s="1"/>
  <c r="EW123" i="72"/>
  <c r="EU125" i="72" l="1"/>
  <c r="EU126" i="72" l="1"/>
  <c r="EW126" i="72" s="1"/>
  <c r="EW125" i="72"/>
  <c r="EU127" i="72" l="1"/>
  <c r="EU128" i="72" l="1"/>
  <c r="EW128" i="72" s="1"/>
  <c r="EW127" i="72"/>
  <c r="EU129" i="72" l="1"/>
  <c r="EU130" i="72" l="1"/>
  <c r="EW130" i="72" s="1"/>
  <c r="EW129" i="72"/>
  <c r="EU131" i="72" l="1"/>
  <c r="EU132" i="72" l="1"/>
  <c r="EW132" i="72" s="1"/>
  <c r="EW131" i="72"/>
  <c r="EU133" i="72" l="1"/>
  <c r="EU134" i="72" l="1"/>
  <c r="EW134" i="72" s="1"/>
  <c r="EW133" i="72"/>
  <c r="EU135" i="72" l="1"/>
  <c r="EU136" i="72" l="1"/>
  <c r="EW136" i="72" s="1"/>
  <c r="EW135" i="72"/>
  <c r="EU137" i="72" l="1"/>
  <c r="EU138" i="72" l="1"/>
  <c r="EW138" i="72" s="1"/>
  <c r="EW137" i="72"/>
  <c r="EU139" i="72" l="1"/>
  <c r="EU140" i="72" l="1"/>
  <c r="EW140" i="72" s="1"/>
  <c r="EW139" i="72"/>
  <c r="EU141" i="72" l="1"/>
  <c r="EU142" i="72" l="1"/>
  <c r="EW142" i="72" s="1"/>
  <c r="EW141" i="72"/>
  <c r="EU143" i="72" l="1"/>
  <c r="EU144" i="72" l="1"/>
  <c r="EW144" i="72" s="1"/>
  <c r="EW143" i="72"/>
  <c r="EU145" i="72" l="1"/>
  <c r="EU146" i="72" l="1"/>
  <c r="EW146" i="72" s="1"/>
  <c r="EW145" i="72"/>
  <c r="EU147" i="72" l="1"/>
  <c r="EU148" i="72" l="1"/>
  <c r="EW148" i="72" s="1"/>
  <c r="EW147" i="72"/>
  <c r="EU149" i="72" l="1"/>
  <c r="EU150" i="72" l="1"/>
  <c r="EW150" i="72" s="1"/>
  <c r="EW149" i="72"/>
  <c r="EU151" i="72" l="1"/>
  <c r="EU152" i="72" l="1"/>
  <c r="EW152" i="72" s="1"/>
  <c r="EW151" i="72"/>
  <c r="EU153" i="72" l="1"/>
  <c r="EU154" i="72" l="1"/>
  <c r="EW154" i="72" s="1"/>
  <c r="EW153" i="72"/>
  <c r="EU155" i="72" l="1"/>
  <c r="EU156" i="72" l="1"/>
  <c r="EW156" i="72" s="1"/>
  <c r="EU157" i="72" s="1"/>
  <c r="EW155" i="72"/>
  <c r="EU158" i="72" l="1"/>
  <c r="EW158" i="72" s="1"/>
  <c r="EW157" i="72"/>
  <c r="EQ31" i="72"/>
  <c r="ER145" i="72" l="1"/>
  <c r="ER146" i="72" s="1"/>
  <c r="ER137" i="72"/>
  <c r="ER138" i="72" s="1"/>
  <c r="ER129" i="72"/>
  <c r="ER130" i="72" s="1"/>
  <c r="ER121" i="72"/>
  <c r="ER122" i="72" s="1"/>
  <c r="ER113" i="72"/>
  <c r="ER114" i="72" s="1"/>
  <c r="ER105" i="72"/>
  <c r="ER106" i="72" s="1"/>
  <c r="ER97" i="72"/>
  <c r="ER98" i="72" s="1"/>
  <c r="ER71" i="72"/>
  <c r="ER72" i="72" s="1"/>
  <c r="ER73" i="72" s="1"/>
  <c r="ER74" i="72" s="1"/>
  <c r="ER75" i="72" s="1"/>
  <c r="ER76" i="72" s="1"/>
  <c r="ER77" i="72" s="1"/>
  <c r="ER115" i="72"/>
  <c r="ER116" i="72" s="1"/>
  <c r="ER131" i="72"/>
  <c r="ER132" i="72" s="1"/>
  <c r="ER157" i="72"/>
  <c r="ER158" i="72" s="1"/>
  <c r="ER143" i="72"/>
  <c r="ER144" i="72" s="1"/>
  <c r="ER135" i="72"/>
  <c r="ER136" i="72" s="1"/>
  <c r="ER127" i="72"/>
  <c r="ER128" i="72" s="1"/>
  <c r="ER119" i="72"/>
  <c r="ER120" i="72" s="1"/>
  <c r="ER111" i="72"/>
  <c r="ER112" i="72" s="1"/>
  <c r="ER103" i="72"/>
  <c r="ER104" i="72" s="1"/>
  <c r="ER95" i="72"/>
  <c r="ER96" i="72" s="1"/>
  <c r="ER69" i="72"/>
  <c r="ER123" i="72"/>
  <c r="ER124" i="72" s="1"/>
  <c r="ER149" i="72"/>
  <c r="ER150" i="72" s="1"/>
  <c r="ER151" i="72" s="1"/>
  <c r="ER152" i="72" s="1"/>
  <c r="ER153" i="72" s="1"/>
  <c r="ER154" i="72" s="1"/>
  <c r="ER155" i="72" s="1"/>
  <c r="ER156" i="72" s="1"/>
  <c r="ER141" i="72"/>
  <c r="ER142" i="72" s="1"/>
  <c r="ER133" i="72"/>
  <c r="ER134" i="72" s="1"/>
  <c r="ER125" i="72"/>
  <c r="ER126" i="72" s="1"/>
  <c r="ER117" i="72"/>
  <c r="ER118" i="72" s="1"/>
  <c r="ER109" i="72"/>
  <c r="ER110" i="72" s="1"/>
  <c r="ER101" i="72"/>
  <c r="ER102" i="72" s="1"/>
  <c r="ER93" i="72"/>
  <c r="ER94" i="72" s="1"/>
  <c r="ER147" i="72"/>
  <c r="ER148" i="72" s="1"/>
  <c r="ER99" i="72"/>
  <c r="ER100" i="72" s="1"/>
  <c r="ER139" i="72"/>
  <c r="ER140" i="72" s="1"/>
  <c r="ER107" i="72"/>
  <c r="ER108" i="72" s="1"/>
  <c r="ER91" i="72"/>
  <c r="ER92" i="72" s="1"/>
  <c r="E62" i="93"/>
  <c r="H61" i="93"/>
  <c r="F61" i="93"/>
  <c r="F60" i="93"/>
  <c r="E60" i="93" s="1"/>
  <c r="E61" i="93" l="1"/>
  <c r="ER78" i="72"/>
  <c r="ER80" i="72" s="1"/>
  <c r="ER82" i="72" s="1"/>
  <c r="ER84" i="72" s="1"/>
  <c r="ER86" i="72" s="1"/>
  <c r="ER88" i="72" s="1"/>
  <c r="ER90" i="72" s="1"/>
  <c r="ER79" i="72"/>
  <c r="ER81" i="72" s="1"/>
  <c r="ER83" i="72" s="1"/>
  <c r="ER85" i="72" s="1"/>
  <c r="ER87" i="72" s="1"/>
  <c r="ER89" i="72" s="1"/>
  <c r="ER70" i="72"/>
  <c r="ES70" i="72" s="1"/>
  <c r="ES69" i="72"/>
  <c r="F131" i="93"/>
  <c r="F130" i="93"/>
  <c r="EQ71" i="72" l="1"/>
  <c r="J61" i="95"/>
  <c r="O54" i="96"/>
  <c r="D79" i="48"/>
  <c r="D80" i="48" s="1"/>
  <c r="D81" i="48" s="1"/>
  <c r="D82" i="48" s="1"/>
  <c r="D86" i="48" s="1"/>
  <c r="D87" i="48" s="1"/>
  <c r="EQ72" i="72" l="1"/>
  <c r="ES72" i="72" s="1"/>
  <c r="ES71" i="72"/>
  <c r="E55" i="93"/>
  <c r="E54" i="93"/>
  <c r="E57" i="93" s="1"/>
  <c r="EQ73" i="72" l="1"/>
  <c r="E277" i="93"/>
  <c r="EQ74" i="72" l="1"/>
  <c r="ES74" i="72" s="1"/>
  <c r="ES73" i="72"/>
  <c r="EQ75" i="72" l="1"/>
  <c r="EQ76" i="72" l="1"/>
  <c r="ES76" i="72" s="1"/>
  <c r="ES75" i="72"/>
  <c r="H15" i="48"/>
  <c r="H18" i="48" s="1"/>
  <c r="H12" i="48"/>
  <c r="H20" i="48" l="1"/>
  <c r="EQ77" i="72"/>
  <c r="H224" i="65"/>
  <c r="EQ78" i="72" l="1"/>
  <c r="ES78" i="72" s="1"/>
  <c r="ES77" i="72"/>
  <c r="EQ79" i="72" l="1"/>
  <c r="EQ80" i="72" l="1"/>
  <c r="ES80" i="72" s="1"/>
  <c r="ES79" i="72"/>
  <c r="EQ81" i="72" l="1"/>
  <c r="EQ82" i="72" l="1"/>
  <c r="ES82" i="72" s="1"/>
  <c r="ES81" i="72"/>
  <c r="HP69" i="72"/>
  <c r="HP70" i="72" s="1"/>
  <c r="HP31" i="72"/>
  <c r="HQ69" i="72" s="1"/>
  <c r="HQ70" i="72" s="1"/>
  <c r="EQ83" i="72" l="1"/>
  <c r="HQ89" i="72"/>
  <c r="HQ90" i="72" s="1"/>
  <c r="HQ71" i="72"/>
  <c r="HQ72" i="72" s="1"/>
  <c r="HQ73" i="72" s="1"/>
  <c r="HQ74" i="72" s="1"/>
  <c r="HQ75" i="72" s="1"/>
  <c r="HQ76" i="72" s="1"/>
  <c r="HQ77" i="72" s="1"/>
  <c r="HQ79" i="72" s="1"/>
  <c r="HQ81" i="72" s="1"/>
  <c r="HQ83" i="72" s="1"/>
  <c r="HQ85" i="72" s="1"/>
  <c r="HQ87" i="72" s="1"/>
  <c r="HR70" i="72"/>
  <c r="HR69" i="72"/>
  <c r="EQ84" i="72" l="1"/>
  <c r="ES84" i="72" s="1"/>
  <c r="ES83" i="72"/>
  <c r="HQ78" i="72"/>
  <c r="HQ80" i="72" s="1"/>
  <c r="HQ82" i="72" s="1"/>
  <c r="HQ84" i="72" s="1"/>
  <c r="HQ86" i="72" s="1"/>
  <c r="HQ88" i="72" s="1"/>
  <c r="HP71" i="72"/>
  <c r="HP72" i="72" s="1"/>
  <c r="HR72" i="72" s="1"/>
  <c r="EQ85" i="72" l="1"/>
  <c r="HR71" i="72"/>
  <c r="HP73" i="72"/>
  <c r="EQ86" i="72" l="1"/>
  <c r="ES86" i="72" s="1"/>
  <c r="ES85" i="72"/>
  <c r="HP74" i="72"/>
  <c r="HR74" i="72" s="1"/>
  <c r="HR73" i="72"/>
  <c r="EQ87" i="72" l="1"/>
  <c r="HP75" i="72"/>
  <c r="EQ88" i="72" l="1"/>
  <c r="ES88" i="72" s="1"/>
  <c r="ES87" i="72"/>
  <c r="HP76" i="72"/>
  <c r="HR76" i="72" s="1"/>
  <c r="HR75" i="72"/>
  <c r="EQ89" i="72" l="1"/>
  <c r="HP77" i="72"/>
  <c r="EQ90" i="72" l="1"/>
  <c r="ES90" i="72" s="1"/>
  <c r="ES89" i="72"/>
  <c r="HP78" i="72"/>
  <c r="HR78" i="72" s="1"/>
  <c r="HR77" i="72"/>
  <c r="EQ91" i="72" l="1"/>
  <c r="HP79" i="72"/>
  <c r="EQ92" i="72" l="1"/>
  <c r="ES92" i="72" s="1"/>
  <c r="ES91" i="72"/>
  <c r="HP80" i="72"/>
  <c r="HR80" i="72" s="1"/>
  <c r="HR79" i="72"/>
  <c r="EQ93" i="72" l="1"/>
  <c r="HP81" i="72"/>
  <c r="EQ94" i="72" l="1"/>
  <c r="ES94" i="72" s="1"/>
  <c r="ES93" i="72"/>
  <c r="HP82" i="72"/>
  <c r="HR82" i="72" s="1"/>
  <c r="HR81" i="72"/>
  <c r="EQ95" i="72" l="1"/>
  <c r="HP83" i="72"/>
  <c r="EQ96" i="72" l="1"/>
  <c r="ES96" i="72" s="1"/>
  <c r="ES95" i="72"/>
  <c r="HP84" i="72"/>
  <c r="HR84" i="72" s="1"/>
  <c r="HR83" i="72"/>
  <c r="EQ97" i="72" l="1"/>
  <c r="HP85" i="72"/>
  <c r="EQ98" i="72" l="1"/>
  <c r="ES98" i="72" s="1"/>
  <c r="ES97" i="72"/>
  <c r="HP86" i="72"/>
  <c r="HR86" i="72" s="1"/>
  <c r="HR85" i="72"/>
  <c r="EQ99" i="72" l="1"/>
  <c r="HP87" i="72"/>
  <c r="EQ100" i="72" l="1"/>
  <c r="ES100" i="72" s="1"/>
  <c r="ES99" i="72"/>
  <c r="HP88" i="72"/>
  <c r="HR88" i="72" s="1"/>
  <c r="HR87" i="72"/>
  <c r="EQ101" i="72" l="1"/>
  <c r="HP89" i="72"/>
  <c r="EQ102" i="72" l="1"/>
  <c r="ES102" i="72" s="1"/>
  <c r="ES101" i="72"/>
  <c r="HP90" i="72"/>
  <c r="HR90" i="72" s="1"/>
  <c r="HR89" i="72"/>
  <c r="EQ103" i="72" l="1"/>
  <c r="E34" i="85"/>
  <c r="EQ104" i="72" l="1"/>
  <c r="ES104" i="72" s="1"/>
  <c r="ES103" i="72"/>
  <c r="EQ105" i="72" l="1"/>
  <c r="H137" i="48"/>
  <c r="EQ106" i="72" l="1"/>
  <c r="ES106" i="72" s="1"/>
  <c r="ES105" i="72"/>
  <c r="EQ107" i="72" l="1"/>
  <c r="C103" i="85"/>
  <c r="EQ108" i="72" l="1"/>
  <c r="ES108" i="72" s="1"/>
  <c r="ES107" i="72"/>
  <c r="C24" i="84"/>
  <c r="EQ109" i="72" l="1"/>
  <c r="E301" i="93"/>
  <c r="E133" i="93"/>
  <c r="G131" i="93"/>
  <c r="G130" i="93"/>
  <c r="E126" i="93"/>
  <c r="E125" i="93"/>
  <c r="E124" i="93"/>
  <c r="E123" i="93"/>
  <c r="H128" i="94"/>
  <c r="F124" i="94"/>
  <c r="H127" i="94"/>
  <c r="I128" i="94"/>
  <c r="I127" i="94"/>
  <c r="I126" i="94"/>
  <c r="H126" i="94"/>
  <c r="Q36" i="96"/>
  <c r="E126" i="94" l="1"/>
  <c r="EQ110" i="72"/>
  <c r="ES110" i="72" s="1"/>
  <c r="ES109" i="72"/>
  <c r="E132" i="93"/>
  <c r="E130" i="93"/>
  <c r="E131" i="93"/>
  <c r="EQ111" i="72" l="1"/>
  <c r="HL67" i="72"/>
  <c r="HL68" i="72" s="1"/>
  <c r="HL31" i="72"/>
  <c r="EM67" i="72"/>
  <c r="EM68" i="72" s="1"/>
  <c r="EI67" i="72"/>
  <c r="EI68" i="72" s="1"/>
  <c r="EE67" i="72"/>
  <c r="EE68" i="72" s="1"/>
  <c r="EM31" i="72"/>
  <c r="EA30" i="72"/>
  <c r="EE31" i="72"/>
  <c r="EI31" i="72"/>
  <c r="EN23" i="72"/>
  <c r="EO23" i="72" s="1"/>
  <c r="EP23" i="72" s="1"/>
  <c r="EJ23" i="72"/>
  <c r="EK23" i="72" s="1"/>
  <c r="EL23" i="72" s="1"/>
  <c r="EF23" i="72"/>
  <c r="EG23" i="72" s="1"/>
  <c r="EH23" i="72" s="1"/>
  <c r="EQ112" i="72" l="1"/>
  <c r="ES112" i="72" s="1"/>
  <c r="ES111" i="72"/>
  <c r="EN147" i="72"/>
  <c r="EN148" i="72" s="1"/>
  <c r="EN67" i="72"/>
  <c r="HM87" i="72"/>
  <c r="HM88" i="72" s="1"/>
  <c r="HM67" i="72"/>
  <c r="EJ149" i="72"/>
  <c r="EJ150" i="72" s="1"/>
  <c r="EJ151" i="72" s="1"/>
  <c r="EJ152" i="72" s="1"/>
  <c r="EJ153" i="72" s="1"/>
  <c r="EJ154" i="72" s="1"/>
  <c r="EJ67" i="72"/>
  <c r="EK67" i="72" s="1"/>
  <c r="EF145" i="72"/>
  <c r="EF146" i="72" s="1"/>
  <c r="EF67" i="72"/>
  <c r="EG67" i="72" s="1"/>
  <c r="EN93" i="72"/>
  <c r="EN94" i="72" s="1"/>
  <c r="EN101" i="72"/>
  <c r="EN102" i="72" s="1"/>
  <c r="EN109" i="72"/>
  <c r="EN110" i="72" s="1"/>
  <c r="EN117" i="72"/>
  <c r="EN118" i="72" s="1"/>
  <c r="EN125" i="72"/>
  <c r="EN126" i="72" s="1"/>
  <c r="EN133" i="72"/>
  <c r="EN134" i="72" s="1"/>
  <c r="EN141" i="72"/>
  <c r="EN142" i="72" s="1"/>
  <c r="EN149" i="72"/>
  <c r="EN150" i="72" s="1"/>
  <c r="EN151" i="72" s="1"/>
  <c r="EN152" i="72" s="1"/>
  <c r="EN153" i="72" s="1"/>
  <c r="EN154" i="72" s="1"/>
  <c r="EF91" i="72"/>
  <c r="EF92" i="72" s="1"/>
  <c r="EF99" i="72"/>
  <c r="EF100" i="72" s="1"/>
  <c r="EF107" i="72"/>
  <c r="EF108" i="72" s="1"/>
  <c r="EF115" i="72"/>
  <c r="EF116" i="72" s="1"/>
  <c r="EF123" i="72"/>
  <c r="EF124" i="72" s="1"/>
  <c r="EF131" i="72"/>
  <c r="EF132" i="72" s="1"/>
  <c r="EF139" i="72"/>
  <c r="EF140" i="72" s="1"/>
  <c r="EF147" i="72"/>
  <c r="EF148" i="72" s="1"/>
  <c r="EJ95" i="72"/>
  <c r="EJ96" i="72" s="1"/>
  <c r="EJ103" i="72"/>
  <c r="EJ104" i="72" s="1"/>
  <c r="EJ111" i="72"/>
  <c r="EJ112" i="72" s="1"/>
  <c r="EJ119" i="72"/>
  <c r="EJ120" i="72" s="1"/>
  <c r="EJ127" i="72"/>
  <c r="EJ128" i="72" s="1"/>
  <c r="EJ135" i="72"/>
  <c r="EJ136" i="72" s="1"/>
  <c r="EJ143" i="72"/>
  <c r="EJ144" i="72" s="1"/>
  <c r="EJ155" i="72"/>
  <c r="EJ156" i="72" s="1"/>
  <c r="EN68" i="72"/>
  <c r="EN95" i="72"/>
  <c r="EN96" i="72" s="1"/>
  <c r="EN103" i="72"/>
  <c r="EN104" i="72" s="1"/>
  <c r="EN111" i="72"/>
  <c r="EN112" i="72" s="1"/>
  <c r="EN119" i="72"/>
  <c r="EN120" i="72" s="1"/>
  <c r="EN127" i="72"/>
  <c r="EN128" i="72" s="1"/>
  <c r="EN135" i="72"/>
  <c r="EN136" i="72" s="1"/>
  <c r="EN143" i="72"/>
  <c r="EN144" i="72" s="1"/>
  <c r="EN155" i="72"/>
  <c r="EN156" i="72" s="1"/>
  <c r="EF93" i="72"/>
  <c r="EF94" i="72" s="1"/>
  <c r="EF101" i="72"/>
  <c r="EF102" i="72" s="1"/>
  <c r="EF109" i="72"/>
  <c r="EF110" i="72" s="1"/>
  <c r="EF117" i="72"/>
  <c r="EF118" i="72" s="1"/>
  <c r="EF125" i="72"/>
  <c r="EF126" i="72" s="1"/>
  <c r="EF133" i="72"/>
  <c r="EF134" i="72" s="1"/>
  <c r="EF141" i="72"/>
  <c r="EF142" i="72" s="1"/>
  <c r="EF149" i="72"/>
  <c r="EF150" i="72" s="1"/>
  <c r="EF151" i="72" s="1"/>
  <c r="EF152" i="72" s="1"/>
  <c r="EF153" i="72" s="1"/>
  <c r="EF154" i="72" s="1"/>
  <c r="EJ69" i="72"/>
  <c r="EJ70" i="72" s="1"/>
  <c r="EJ71" i="72" s="1"/>
  <c r="EJ72" i="72" s="1"/>
  <c r="EJ73" i="72" s="1"/>
  <c r="EJ74" i="72" s="1"/>
  <c r="EJ75" i="72" s="1"/>
  <c r="EJ76" i="72" s="1"/>
  <c r="EJ77" i="72" s="1"/>
  <c r="EJ97" i="72"/>
  <c r="EJ98" i="72" s="1"/>
  <c r="EJ105" i="72"/>
  <c r="EJ106" i="72" s="1"/>
  <c r="EJ113" i="72"/>
  <c r="EJ114" i="72" s="1"/>
  <c r="EJ121" i="72"/>
  <c r="EJ122" i="72" s="1"/>
  <c r="EJ129" i="72"/>
  <c r="EJ130" i="72" s="1"/>
  <c r="EJ137" i="72"/>
  <c r="EJ138" i="72" s="1"/>
  <c r="EJ145" i="72"/>
  <c r="EJ146" i="72" s="1"/>
  <c r="EN69" i="72"/>
  <c r="EN70" i="72" s="1"/>
  <c r="EN71" i="72" s="1"/>
  <c r="EN72" i="72" s="1"/>
  <c r="EN73" i="72" s="1"/>
  <c r="EN74" i="72" s="1"/>
  <c r="EN75" i="72" s="1"/>
  <c r="EN76" i="72" s="1"/>
  <c r="EN77" i="72" s="1"/>
  <c r="EN79" i="72" s="1"/>
  <c r="EN81" i="72" s="1"/>
  <c r="EN83" i="72" s="1"/>
  <c r="EN85" i="72" s="1"/>
  <c r="EN87" i="72" s="1"/>
  <c r="EN89" i="72" s="1"/>
  <c r="EN97" i="72"/>
  <c r="EN98" i="72" s="1"/>
  <c r="EN105" i="72"/>
  <c r="EN106" i="72" s="1"/>
  <c r="EN113" i="72"/>
  <c r="EN114" i="72" s="1"/>
  <c r="EN121" i="72"/>
  <c r="EN122" i="72" s="1"/>
  <c r="EN129" i="72"/>
  <c r="EN130" i="72" s="1"/>
  <c r="EN137" i="72"/>
  <c r="EN138" i="72" s="1"/>
  <c r="EN145" i="72"/>
  <c r="EN146" i="72" s="1"/>
  <c r="HN68" i="72"/>
  <c r="EF95" i="72"/>
  <c r="EF96" i="72" s="1"/>
  <c r="EF103" i="72"/>
  <c r="EF104" i="72" s="1"/>
  <c r="EF111" i="72"/>
  <c r="EF112" i="72" s="1"/>
  <c r="EF119" i="72"/>
  <c r="EF120" i="72" s="1"/>
  <c r="EF127" i="72"/>
  <c r="EF128" i="72" s="1"/>
  <c r="EF135" i="72"/>
  <c r="EF136" i="72" s="1"/>
  <c r="EF143" i="72"/>
  <c r="EF144" i="72" s="1"/>
  <c r="EF155" i="72"/>
  <c r="EF156" i="72" s="1"/>
  <c r="EJ91" i="72"/>
  <c r="EJ92" i="72" s="1"/>
  <c r="EJ99" i="72"/>
  <c r="EJ100" i="72" s="1"/>
  <c r="EJ107" i="72"/>
  <c r="EJ108" i="72" s="1"/>
  <c r="EJ115" i="72"/>
  <c r="EJ116" i="72" s="1"/>
  <c r="EJ123" i="72"/>
  <c r="EJ124" i="72" s="1"/>
  <c r="EJ131" i="72"/>
  <c r="EJ132" i="72" s="1"/>
  <c r="EJ139" i="72"/>
  <c r="EJ140" i="72" s="1"/>
  <c r="EJ147" i="72"/>
  <c r="EJ148" i="72" s="1"/>
  <c r="HM68" i="72"/>
  <c r="EN91" i="72"/>
  <c r="EN92" i="72" s="1"/>
  <c r="EN99" i="72"/>
  <c r="EN100" i="72" s="1"/>
  <c r="EN107" i="72"/>
  <c r="EN108" i="72" s="1"/>
  <c r="EN115" i="72"/>
  <c r="EN116" i="72" s="1"/>
  <c r="EN123" i="72"/>
  <c r="EN124" i="72" s="1"/>
  <c r="EN131" i="72"/>
  <c r="EN132" i="72" s="1"/>
  <c r="EN139" i="72"/>
  <c r="EN140" i="72" s="1"/>
  <c r="HM69" i="72"/>
  <c r="HM70" i="72" s="1"/>
  <c r="HM71" i="72" s="1"/>
  <c r="HM72" i="72" s="1"/>
  <c r="HM73" i="72" s="1"/>
  <c r="HM74" i="72" s="1"/>
  <c r="HM75" i="72" s="1"/>
  <c r="HM76" i="72" s="1"/>
  <c r="HM77" i="72" s="1"/>
  <c r="EF69" i="72"/>
  <c r="EF70" i="72" s="1"/>
  <c r="EF71" i="72" s="1"/>
  <c r="EF72" i="72" s="1"/>
  <c r="EF73" i="72" s="1"/>
  <c r="EF74" i="72" s="1"/>
  <c r="EF75" i="72" s="1"/>
  <c r="EF76" i="72" s="1"/>
  <c r="EF77" i="72" s="1"/>
  <c r="EF78" i="72" s="1"/>
  <c r="EF80" i="72" s="1"/>
  <c r="EF82" i="72" s="1"/>
  <c r="EF84" i="72" s="1"/>
  <c r="EF86" i="72" s="1"/>
  <c r="EF88" i="72" s="1"/>
  <c r="EF90" i="72" s="1"/>
  <c r="EF97" i="72"/>
  <c r="EF98" i="72" s="1"/>
  <c r="EF105" i="72"/>
  <c r="EF106" i="72" s="1"/>
  <c r="EF113" i="72"/>
  <c r="EF114" i="72" s="1"/>
  <c r="EF121" i="72"/>
  <c r="EF122" i="72" s="1"/>
  <c r="EF129" i="72"/>
  <c r="EF130" i="72" s="1"/>
  <c r="EF137" i="72"/>
  <c r="EF138" i="72" s="1"/>
  <c r="EJ93" i="72"/>
  <c r="EJ94" i="72" s="1"/>
  <c r="EJ101" i="72"/>
  <c r="EJ102" i="72" s="1"/>
  <c r="EJ109" i="72"/>
  <c r="EJ110" i="72" s="1"/>
  <c r="EJ117" i="72"/>
  <c r="EJ118" i="72" s="1"/>
  <c r="EJ125" i="72"/>
  <c r="EJ126" i="72" s="1"/>
  <c r="EJ133" i="72"/>
  <c r="EJ134" i="72" s="1"/>
  <c r="EJ141" i="72"/>
  <c r="EJ142" i="72" s="1"/>
  <c r="HL69" i="72"/>
  <c r="HM78" i="72"/>
  <c r="HM80" i="72" s="1"/>
  <c r="HM82" i="72" s="1"/>
  <c r="HM84" i="72" s="1"/>
  <c r="HM85" i="72" s="1"/>
  <c r="HM86" i="72" s="1"/>
  <c r="HM79" i="72"/>
  <c r="HM81" i="72" s="1"/>
  <c r="HM83" i="72" s="1"/>
  <c r="HN67" i="72"/>
  <c r="EJ79" i="72"/>
  <c r="EJ81" i="72" s="1"/>
  <c r="EJ83" i="72" s="1"/>
  <c r="EJ85" i="72" s="1"/>
  <c r="EJ87" i="72" s="1"/>
  <c r="EJ89" i="72" s="1"/>
  <c r="EJ78" i="72"/>
  <c r="EJ80" i="72" s="1"/>
  <c r="EJ82" i="72" s="1"/>
  <c r="EJ84" i="72" s="1"/>
  <c r="EJ86" i="72" s="1"/>
  <c r="EJ88" i="72" s="1"/>
  <c r="EJ90" i="72" s="1"/>
  <c r="EO68" i="72"/>
  <c r="EO67" i="72"/>
  <c r="EJ68" i="72" l="1"/>
  <c r="EK68" i="72" s="1"/>
  <c r="EQ113" i="72"/>
  <c r="EF68" i="72"/>
  <c r="EG68" i="72" s="1"/>
  <c r="EE69" i="72" s="1"/>
  <c r="EE70" i="72" s="1"/>
  <c r="EG70" i="72" s="1"/>
  <c r="EN78" i="72"/>
  <c r="EN80" i="72" s="1"/>
  <c r="EN82" i="72" s="1"/>
  <c r="EN84" i="72" s="1"/>
  <c r="EN86" i="72" s="1"/>
  <c r="EN88" i="72" s="1"/>
  <c r="EN90" i="72" s="1"/>
  <c r="EF79" i="72"/>
  <c r="EF81" i="72" s="1"/>
  <c r="EF83" i="72" s="1"/>
  <c r="EF85" i="72" s="1"/>
  <c r="EF87" i="72" s="1"/>
  <c r="EF89" i="72" s="1"/>
  <c r="HL70" i="72"/>
  <c r="HN70" i="72" s="1"/>
  <c r="HN69" i="72"/>
  <c r="EI69" i="72"/>
  <c r="EM69" i="72"/>
  <c r="EG69" i="72" l="1"/>
  <c r="EQ114" i="72"/>
  <c r="ES114" i="72" s="1"/>
  <c r="ES113" i="72"/>
  <c r="HL71" i="72"/>
  <c r="EO69" i="72"/>
  <c r="EM70" i="72"/>
  <c r="EO70" i="72" s="1"/>
  <c r="EK69" i="72"/>
  <c r="EI70" i="72"/>
  <c r="EK70" i="72" s="1"/>
  <c r="EE71" i="72"/>
  <c r="EQ115" i="72" l="1"/>
  <c r="HL72" i="72"/>
  <c r="HN72" i="72" s="1"/>
  <c r="HN71" i="72"/>
  <c r="EI71" i="72"/>
  <c r="EM71" i="72"/>
  <c r="EE72" i="72"/>
  <c r="EG72" i="72" s="1"/>
  <c r="EG71" i="72"/>
  <c r="I34" i="83"/>
  <c r="EQ116" i="72" l="1"/>
  <c r="ES116" i="72" s="1"/>
  <c r="ES115" i="72"/>
  <c r="HL73" i="72"/>
  <c r="EM72" i="72"/>
  <c r="EO72" i="72" s="1"/>
  <c r="EO71" i="72"/>
  <c r="EI72" i="72"/>
  <c r="EK72" i="72" s="1"/>
  <c r="EK71" i="72"/>
  <c r="EE73" i="72"/>
  <c r="EQ117" i="72" l="1"/>
  <c r="HL74" i="72"/>
  <c r="HN74" i="72" s="1"/>
  <c r="HN73" i="72"/>
  <c r="EI73" i="72"/>
  <c r="EM73" i="72"/>
  <c r="EE74" i="72"/>
  <c r="EG74" i="72" s="1"/>
  <c r="EG73" i="72"/>
  <c r="EQ118" i="72" l="1"/>
  <c r="ES118" i="72" s="1"/>
  <c r="ES117" i="72"/>
  <c r="HL75" i="72"/>
  <c r="EM74" i="72"/>
  <c r="EO74" i="72" s="1"/>
  <c r="EO73" i="72"/>
  <c r="EI74" i="72"/>
  <c r="EK74" i="72" s="1"/>
  <c r="EK73" i="72"/>
  <c r="EE75" i="72"/>
  <c r="EQ119" i="72" l="1"/>
  <c r="HL76" i="72"/>
  <c r="HN76" i="72" s="1"/>
  <c r="HN75" i="72"/>
  <c r="EI75" i="72"/>
  <c r="EM75" i="72"/>
  <c r="EE76" i="72"/>
  <c r="EG76" i="72" s="1"/>
  <c r="EG75" i="72"/>
  <c r="EQ120" i="72" l="1"/>
  <c r="ES120" i="72" s="1"/>
  <c r="ES119" i="72"/>
  <c r="HL77" i="72"/>
  <c r="EM76" i="72"/>
  <c r="EO76" i="72" s="1"/>
  <c r="EO75" i="72"/>
  <c r="EI76" i="72"/>
  <c r="EK76" i="72" s="1"/>
  <c r="EK75" i="72"/>
  <c r="EE77" i="72"/>
  <c r="EQ121" i="72" l="1"/>
  <c r="HL78" i="72"/>
  <c r="HN78" i="72" s="1"/>
  <c r="HN77" i="72"/>
  <c r="EI77" i="72"/>
  <c r="EM77" i="72"/>
  <c r="EE78" i="72"/>
  <c r="EG78" i="72" s="1"/>
  <c r="EG77" i="72"/>
  <c r="I35" i="83"/>
  <c r="I36" i="83" s="1"/>
  <c r="I37" i="83" s="1"/>
  <c r="I38" i="83" s="1"/>
  <c r="I39" i="83" s="1"/>
  <c r="I40" i="83" s="1"/>
  <c r="I41" i="83" s="1"/>
  <c r="I42" i="83" s="1"/>
  <c r="I43" i="83" s="1"/>
  <c r="I44" i="83" s="1"/>
  <c r="I45" i="83" s="1"/>
  <c r="I46" i="83" s="1"/>
  <c r="EQ122" i="72" l="1"/>
  <c r="ES122" i="72" s="1"/>
  <c r="ES121" i="72"/>
  <c r="HL79" i="72"/>
  <c r="EM78" i="72"/>
  <c r="EO78" i="72" s="1"/>
  <c r="EO77" i="72"/>
  <c r="EI78" i="72"/>
  <c r="EK78" i="72" s="1"/>
  <c r="EK77" i="72"/>
  <c r="EE79" i="72"/>
  <c r="EQ123" i="72" l="1"/>
  <c r="HL80" i="72"/>
  <c r="HN80" i="72" s="1"/>
  <c r="HN79" i="72"/>
  <c r="EI79" i="72"/>
  <c r="EM79" i="72"/>
  <c r="EE80" i="72"/>
  <c r="EG80" i="72" s="1"/>
  <c r="EG79" i="72"/>
  <c r="EQ124" i="72" l="1"/>
  <c r="ES124" i="72" s="1"/>
  <c r="ES123" i="72"/>
  <c r="HL81" i="72"/>
  <c r="EM80" i="72"/>
  <c r="EO80" i="72" s="1"/>
  <c r="EO79" i="72"/>
  <c r="EI80" i="72"/>
  <c r="EK80" i="72" s="1"/>
  <c r="EK79" i="72"/>
  <c r="EE81" i="72"/>
  <c r="EQ125" i="72" l="1"/>
  <c r="HL82" i="72"/>
  <c r="HN82" i="72" s="1"/>
  <c r="HN81" i="72"/>
  <c r="EI81" i="72"/>
  <c r="EM81" i="72"/>
  <c r="EE82" i="72"/>
  <c r="EG82" i="72" s="1"/>
  <c r="EG81" i="72"/>
  <c r="EQ126" i="72" l="1"/>
  <c r="ES126" i="72" s="1"/>
  <c r="ES125" i="72"/>
  <c r="HL83" i="72"/>
  <c r="EM82" i="72"/>
  <c r="EO82" i="72" s="1"/>
  <c r="EO81" i="72"/>
  <c r="EI82" i="72"/>
  <c r="EK82" i="72" s="1"/>
  <c r="EK81" i="72"/>
  <c r="EE83" i="72"/>
  <c r="EQ127" i="72" l="1"/>
  <c r="HL84" i="72"/>
  <c r="HN84" i="72" s="1"/>
  <c r="HN83" i="72"/>
  <c r="EI83" i="72"/>
  <c r="EM83" i="72"/>
  <c r="EE84" i="72"/>
  <c r="EG84" i="72" s="1"/>
  <c r="EG83" i="72"/>
  <c r="C178" i="65"/>
  <c r="G82" i="54"/>
  <c r="G71" i="54"/>
  <c r="G81" i="54"/>
  <c r="F37" i="54"/>
  <c r="E310" i="48"/>
  <c r="E309" i="48"/>
  <c r="F298" i="48"/>
  <c r="C298" i="48"/>
  <c r="C287" i="48"/>
  <c r="E282" i="48"/>
  <c r="E274" i="48"/>
  <c r="C273" i="48"/>
  <c r="F255" i="48"/>
  <c r="F251" i="48"/>
  <c r="F250" i="48"/>
  <c r="F249" i="48"/>
  <c r="E248" i="48"/>
  <c r="E247" i="48"/>
  <c r="E246" i="48"/>
  <c r="E245" i="48"/>
  <c r="F240" i="48"/>
  <c r="A240" i="48"/>
  <c r="A241" i="48" s="1"/>
  <c r="E238" i="48"/>
  <c r="E232" i="48"/>
  <c r="E231" i="48"/>
  <c r="E219" i="48"/>
  <c r="E209" i="48"/>
  <c r="E208" i="48"/>
  <c r="F207" i="48"/>
  <c r="D207" i="48"/>
  <c r="E204" i="48"/>
  <c r="E206" i="48" s="1"/>
  <c r="E200" i="48"/>
  <c r="E190" i="48"/>
  <c r="F174" i="48"/>
  <c r="E172" i="48"/>
  <c r="E171" i="48"/>
  <c r="E166" i="48"/>
  <c r="E163" i="48"/>
  <c r="E152" i="48"/>
  <c r="E148" i="48"/>
  <c r="E147" i="48"/>
  <c r="F143" i="48"/>
  <c r="E141" i="48"/>
  <c r="E139" i="48"/>
  <c r="E137" i="48"/>
  <c r="E135" i="48"/>
  <c r="E131" i="48"/>
  <c r="E130" i="48"/>
  <c r="F116" i="48"/>
  <c r="F178" i="65" s="1"/>
  <c r="E115" i="48"/>
  <c r="E116" i="48" s="1"/>
  <c r="E178" i="65" s="1"/>
  <c r="F112" i="48"/>
  <c r="F107" i="48"/>
  <c r="E106" i="48"/>
  <c r="F105" i="48"/>
  <c r="F104" i="48"/>
  <c r="E103" i="48"/>
  <c r="E99" i="48"/>
  <c r="E96" i="48"/>
  <c r="F90" i="48"/>
  <c r="F88" i="48"/>
  <c r="E87" i="48"/>
  <c r="E86" i="48"/>
  <c r="F83" i="48"/>
  <c r="E82" i="48"/>
  <c r="E81" i="48"/>
  <c r="E80" i="48"/>
  <c r="E79" i="48"/>
  <c r="E78" i="48"/>
  <c r="F68" i="48"/>
  <c r="C68" i="48"/>
  <c r="E66" i="48"/>
  <c r="C65" i="48"/>
  <c r="C64" i="48"/>
  <c r="E55" i="48"/>
  <c r="F52" i="48"/>
  <c r="E50" i="48"/>
  <c r="E30" i="48"/>
  <c r="E29" i="48"/>
  <c r="E28" i="48"/>
  <c r="E24" i="48"/>
  <c r="A23" i="48"/>
  <c r="A13" i="48"/>
  <c r="A16" i="48" s="1"/>
  <c r="A18" i="48" s="1"/>
  <c r="EQ128" i="72" l="1"/>
  <c r="ES128" i="72" s="1"/>
  <c r="ES127" i="72"/>
  <c r="F242" i="48"/>
  <c r="HL85" i="72"/>
  <c r="EM84" i="72"/>
  <c r="EO84" i="72" s="1"/>
  <c r="EO83" i="72"/>
  <c r="EI84" i="72"/>
  <c r="EK84" i="72" s="1"/>
  <c r="EK83" i="72"/>
  <c r="EE85" i="72"/>
  <c r="G73" i="54"/>
  <c r="G86" i="54"/>
  <c r="G80" i="54"/>
  <c r="A24" i="48"/>
  <c r="A25" i="48" s="1"/>
  <c r="EQ129" i="72" l="1"/>
  <c r="HL86" i="72"/>
  <c r="HN86" i="72" s="1"/>
  <c r="HN85" i="72"/>
  <c r="EI85" i="72"/>
  <c r="EM85" i="72"/>
  <c r="EE86" i="72"/>
  <c r="EG86" i="72" s="1"/>
  <c r="EG85" i="72"/>
  <c r="F25" i="48"/>
  <c r="A27" i="48"/>
  <c r="EQ130" i="72" l="1"/>
  <c r="ES130" i="72" s="1"/>
  <c r="ES129" i="72"/>
  <c r="HL87" i="72"/>
  <c r="EM86" i="72"/>
  <c r="EO86" i="72" s="1"/>
  <c r="EO85" i="72"/>
  <c r="EI86" i="72"/>
  <c r="EK86" i="72" s="1"/>
  <c r="EK85" i="72"/>
  <c r="EE87" i="72"/>
  <c r="A28" i="48"/>
  <c r="A29" i="48" s="1"/>
  <c r="EQ131" i="72" l="1"/>
  <c r="HL88" i="72"/>
  <c r="HN88" i="72" s="1"/>
  <c r="HN87" i="72"/>
  <c r="EI87" i="72"/>
  <c r="EM87" i="72"/>
  <c r="EE88" i="72"/>
  <c r="EG88" i="72" s="1"/>
  <c r="EG87" i="72"/>
  <c r="F65" i="48"/>
  <c r="A30" i="48"/>
  <c r="EQ132" i="72" l="1"/>
  <c r="ES132" i="72" s="1"/>
  <c r="ES131" i="72"/>
  <c r="EM88" i="72"/>
  <c r="EO88" i="72" s="1"/>
  <c r="EO87" i="72"/>
  <c r="EI88" i="72"/>
  <c r="EK88" i="72" s="1"/>
  <c r="EK87" i="72"/>
  <c r="EE89" i="72"/>
  <c r="A31" i="48"/>
  <c r="F66" i="48"/>
  <c r="F31" i="48"/>
  <c r="EQ133" i="72" l="1"/>
  <c r="EI89" i="72"/>
  <c r="EM89" i="72"/>
  <c r="EE90" i="72"/>
  <c r="EG90" i="72" s="1"/>
  <c r="EG89" i="72"/>
  <c r="A33" i="48"/>
  <c r="A35" i="48" s="1"/>
  <c r="F33" i="48"/>
  <c r="EQ134" i="72" l="1"/>
  <c r="ES134" i="72" s="1"/>
  <c r="ES133" i="72"/>
  <c r="EM90" i="72"/>
  <c r="EO90" i="72" s="1"/>
  <c r="EO89" i="72"/>
  <c r="EI90" i="72"/>
  <c r="EK90" i="72" s="1"/>
  <c r="EK89" i="72"/>
  <c r="EE91" i="72"/>
  <c r="F36" i="48"/>
  <c r="A36" i="48"/>
  <c r="A38" i="48" s="1"/>
  <c r="EQ135" i="72" l="1"/>
  <c r="EI91" i="72"/>
  <c r="EM91" i="72"/>
  <c r="EE92" i="72"/>
  <c r="EG92" i="72" s="1"/>
  <c r="EG91" i="72"/>
  <c r="F39" i="48"/>
  <c r="A39" i="48"/>
  <c r="EQ136" i="72" l="1"/>
  <c r="ES136" i="72" s="1"/>
  <c r="ES135" i="72"/>
  <c r="EM92" i="72"/>
  <c r="EO92" i="72" s="1"/>
  <c r="EO91" i="72"/>
  <c r="EI92" i="72"/>
  <c r="EK92" i="72" s="1"/>
  <c r="EK91" i="72"/>
  <c r="EE93" i="72"/>
  <c r="F154" i="48"/>
  <c r="A44" i="48"/>
  <c r="F241" i="48"/>
  <c r="EQ137" i="72" l="1"/>
  <c r="EI93" i="72"/>
  <c r="EM93" i="72"/>
  <c r="EE94" i="72"/>
  <c r="EG94" i="72" s="1"/>
  <c r="EG93" i="72"/>
  <c r="F47" i="48"/>
  <c r="A45" i="48"/>
  <c r="A46" i="48" s="1"/>
  <c r="A47" i="48" s="1"/>
  <c r="EQ138" i="72" l="1"/>
  <c r="ES138" i="72" s="1"/>
  <c r="ES137" i="72"/>
  <c r="EM94" i="72"/>
  <c r="EO94" i="72" s="1"/>
  <c r="EO93" i="72"/>
  <c r="EI94" i="72"/>
  <c r="EK94" i="72" s="1"/>
  <c r="EK93" i="72"/>
  <c r="EE95" i="72"/>
  <c r="A49" i="48"/>
  <c r="EQ139" i="72" l="1"/>
  <c r="EI95" i="72"/>
  <c r="EM95" i="72"/>
  <c r="EE96" i="72"/>
  <c r="EG96" i="72" s="1"/>
  <c r="EG95" i="72"/>
  <c r="A50" i="48"/>
  <c r="F51" i="48" s="1"/>
  <c r="EQ140" i="72" l="1"/>
  <c r="ES140" i="72" s="1"/>
  <c r="ES139" i="72"/>
  <c r="EM96" i="72"/>
  <c r="EO96" i="72" s="1"/>
  <c r="EO95" i="72"/>
  <c r="EI96" i="72"/>
  <c r="EK96" i="72" s="1"/>
  <c r="EK95" i="72"/>
  <c r="EE97" i="72"/>
  <c r="A51" i="48"/>
  <c r="F24" i="48"/>
  <c r="EQ141" i="72" l="1"/>
  <c r="EI97" i="72"/>
  <c r="EM97" i="72"/>
  <c r="EE98" i="72"/>
  <c r="EG98" i="72" s="1"/>
  <c r="EG97" i="72"/>
  <c r="A52" i="48"/>
  <c r="A53" i="48" s="1"/>
  <c r="EQ142" i="72" l="1"/>
  <c r="ES142" i="72" s="1"/>
  <c r="ES141" i="72"/>
  <c r="EM98" i="72"/>
  <c r="EO98" i="72" s="1"/>
  <c r="EO97" i="72"/>
  <c r="EI98" i="72"/>
  <c r="EK98" i="72" s="1"/>
  <c r="EK97" i="72"/>
  <c r="EE99" i="72"/>
  <c r="A55" i="48"/>
  <c r="A57" i="48" s="1"/>
  <c r="F53" i="48"/>
  <c r="EQ143" i="72" l="1"/>
  <c r="EI99" i="72"/>
  <c r="EM99" i="72"/>
  <c r="EE100" i="72"/>
  <c r="EG100" i="72" s="1"/>
  <c r="EG99" i="72"/>
  <c r="F57" i="48"/>
  <c r="A61" i="48"/>
  <c r="F35" i="48"/>
  <c r="EQ144" i="72" l="1"/>
  <c r="ES144" i="72" s="1"/>
  <c r="ES143" i="72"/>
  <c r="EM100" i="72"/>
  <c r="EO100" i="72" s="1"/>
  <c r="EO99" i="72"/>
  <c r="EI100" i="72"/>
  <c r="EK100" i="72" s="1"/>
  <c r="EK99" i="72"/>
  <c r="EE101" i="72"/>
  <c r="A63" i="48"/>
  <c r="EQ145" i="72" l="1"/>
  <c r="EI101" i="72"/>
  <c r="EM101" i="72"/>
  <c r="EE102" i="72"/>
  <c r="EG102" i="72" s="1"/>
  <c r="EG101" i="72"/>
  <c r="A64" i="48"/>
  <c r="A65" i="48" s="1"/>
  <c r="A66" i="48" s="1"/>
  <c r="A67" i="48" s="1"/>
  <c r="EQ146" i="72" l="1"/>
  <c r="ES146" i="72" s="1"/>
  <c r="ES145" i="72"/>
  <c r="EM102" i="72"/>
  <c r="EO102" i="72" s="1"/>
  <c r="EO101" i="72"/>
  <c r="EI102" i="72"/>
  <c r="EK102" i="72" s="1"/>
  <c r="EK101" i="72"/>
  <c r="EE103" i="72"/>
  <c r="A68" i="48"/>
  <c r="A69" i="48" s="1"/>
  <c r="F67" i="48"/>
  <c r="EQ147" i="72" l="1"/>
  <c r="EI103" i="72"/>
  <c r="EM103" i="72"/>
  <c r="EE104" i="72"/>
  <c r="EG104" i="72" s="1"/>
  <c r="EG103" i="72"/>
  <c r="A71" i="48"/>
  <c r="F71" i="48"/>
  <c r="F69" i="48"/>
  <c r="EQ148" i="72" l="1"/>
  <c r="ES148" i="72" s="1"/>
  <c r="ES147" i="72"/>
  <c r="EM104" i="72"/>
  <c r="EO104" i="72" s="1"/>
  <c r="EO103" i="72"/>
  <c r="EI104" i="72"/>
  <c r="EK104" i="72" s="1"/>
  <c r="EK103" i="72"/>
  <c r="EE105" i="72"/>
  <c r="A73" i="48"/>
  <c r="F73" i="48"/>
  <c r="EQ149" i="72" l="1"/>
  <c r="EI105" i="72"/>
  <c r="EM105" i="72"/>
  <c r="EE106" i="72"/>
  <c r="EG106" i="72" s="1"/>
  <c r="EG105" i="72"/>
  <c r="F38" i="48"/>
  <c r="F260" i="48"/>
  <c r="EQ150" i="72" l="1"/>
  <c r="ES150" i="72" s="1"/>
  <c r="ES149" i="72"/>
  <c r="EM106" i="72"/>
  <c r="EO106" i="72" s="1"/>
  <c r="EO105" i="72"/>
  <c r="EI106" i="72"/>
  <c r="EK106" i="72" s="1"/>
  <c r="EK105" i="72"/>
  <c r="EE107" i="72"/>
  <c r="I29" i="54"/>
  <c r="EQ151" i="72" l="1"/>
  <c r="EI107" i="72"/>
  <c r="EM107" i="72"/>
  <c r="EE108" i="72"/>
  <c r="EG108" i="72" s="1"/>
  <c r="EG107" i="72"/>
  <c r="EQ152" i="72" l="1"/>
  <c r="ES152" i="72" s="1"/>
  <c r="ES151" i="72"/>
  <c r="EM108" i="72"/>
  <c r="EO108" i="72" s="1"/>
  <c r="EO107" i="72"/>
  <c r="EI108" i="72"/>
  <c r="EK108" i="72" s="1"/>
  <c r="EK107" i="72"/>
  <c r="EE109" i="72"/>
  <c r="EQ153" i="72" l="1"/>
  <c r="EI109" i="72"/>
  <c r="EM109" i="72"/>
  <c r="EE110" i="72"/>
  <c r="EG110" i="72" s="1"/>
  <c r="EG109" i="72"/>
  <c r="O22" i="84"/>
  <c r="EQ154" i="72" l="1"/>
  <c r="ES154" i="72" s="1"/>
  <c r="ES153" i="72"/>
  <c r="EM110" i="72"/>
  <c r="EO110" i="72" s="1"/>
  <c r="EO109" i="72"/>
  <c r="EI110" i="72"/>
  <c r="EK110" i="72" s="1"/>
  <c r="EK109" i="72"/>
  <c r="EE111" i="72"/>
  <c r="F285" i="93"/>
  <c r="EQ155" i="72" l="1"/>
  <c r="EI111" i="72"/>
  <c r="EM111" i="72"/>
  <c r="EE112" i="72"/>
  <c r="EG112" i="72" s="1"/>
  <c r="EG111" i="72"/>
  <c r="EQ156" i="72" l="1"/>
  <c r="ES156" i="72" s="1"/>
  <c r="ES155" i="72"/>
  <c r="EM112" i="72"/>
  <c r="EO112" i="72" s="1"/>
  <c r="EO111" i="72"/>
  <c r="EI112" i="72"/>
  <c r="EK112" i="72" s="1"/>
  <c r="EK111" i="72"/>
  <c r="EE113" i="72"/>
  <c r="EQ157" i="72" l="1"/>
  <c r="EI113" i="72"/>
  <c r="EM113" i="72"/>
  <c r="EE114" i="72"/>
  <c r="EG114" i="72" s="1"/>
  <c r="EG113" i="72"/>
  <c r="A27" i="68"/>
  <c r="B13" i="68"/>
  <c r="B14" i="68" s="1"/>
  <c r="B15" i="68" s="1"/>
  <c r="B16" i="68" s="1"/>
  <c r="B18" i="68" s="1"/>
  <c r="B19" i="68" s="1"/>
  <c r="B20" i="68" s="1"/>
  <c r="B21" i="68" s="1"/>
  <c r="B23" i="68" s="1"/>
  <c r="G21" i="68"/>
  <c r="H21" i="68"/>
  <c r="G13" i="68"/>
  <c r="H13" i="68"/>
  <c r="H16" i="68" s="1"/>
  <c r="EQ158" i="72" l="1"/>
  <c r="ES158" i="72" s="1"/>
  <c r="ES157" i="72"/>
  <c r="H23" i="68"/>
  <c r="EM114" i="72"/>
  <c r="EO114" i="72" s="1"/>
  <c r="EO113" i="72"/>
  <c r="EI114" i="72"/>
  <c r="EK114" i="72" s="1"/>
  <c r="EK113" i="72"/>
  <c r="EE115" i="72"/>
  <c r="G16" i="68"/>
  <c r="G23" i="68" l="1"/>
  <c r="I23" i="68" s="1"/>
  <c r="F30" i="68" s="1"/>
  <c r="EI115" i="72"/>
  <c r="EM115" i="72"/>
  <c r="EE116" i="72"/>
  <c r="EG116" i="72" s="1"/>
  <c r="EG115" i="72"/>
  <c r="V71" i="97"/>
  <c r="N71" i="97"/>
  <c r="H71" i="97"/>
  <c r="F71" i="97"/>
  <c r="T70" i="97"/>
  <c r="T71" i="97" s="1"/>
  <c r="O70" i="97"/>
  <c r="L70" i="97"/>
  <c r="M70" i="97" s="1"/>
  <c r="P70" i="97" s="1"/>
  <c r="I70" i="97"/>
  <c r="J70" i="97" s="1"/>
  <c r="R70" i="97" s="1"/>
  <c r="X70" i="97" s="1"/>
  <c r="AF70" i="97" s="1"/>
  <c r="G70" i="97"/>
  <c r="O69" i="97"/>
  <c r="L69" i="97"/>
  <c r="M69" i="97" s="1"/>
  <c r="I69" i="97"/>
  <c r="G69" i="97"/>
  <c r="J69" i="97" s="1"/>
  <c r="O68" i="97"/>
  <c r="M68" i="97"/>
  <c r="L68" i="97"/>
  <c r="I68" i="97"/>
  <c r="G68" i="97"/>
  <c r="O67" i="97"/>
  <c r="L67" i="97"/>
  <c r="M67" i="97" s="1"/>
  <c r="J67" i="97"/>
  <c r="I67" i="97"/>
  <c r="G67" i="97"/>
  <c r="O66" i="97"/>
  <c r="L66" i="97"/>
  <c r="M66" i="97" s="1"/>
  <c r="I66" i="97"/>
  <c r="J66" i="97" s="1"/>
  <c r="G66" i="97"/>
  <c r="O65" i="97"/>
  <c r="M65" i="97"/>
  <c r="P65" i="97" s="1"/>
  <c r="L65" i="97"/>
  <c r="I65" i="97"/>
  <c r="G65" i="97"/>
  <c r="O64" i="97"/>
  <c r="L64" i="97"/>
  <c r="M64" i="97" s="1"/>
  <c r="I64" i="97"/>
  <c r="G64" i="97"/>
  <c r="J64" i="97" s="1"/>
  <c r="P63" i="97"/>
  <c r="O63" i="97"/>
  <c r="L63" i="97"/>
  <c r="M63" i="97" s="1"/>
  <c r="J63" i="97"/>
  <c r="R63" i="97" s="1"/>
  <c r="X63" i="97" s="1"/>
  <c r="AF63" i="97" s="1"/>
  <c r="I63" i="97"/>
  <c r="G63" i="97"/>
  <c r="O62" i="97"/>
  <c r="L62" i="97"/>
  <c r="M62" i="97" s="1"/>
  <c r="P62" i="97" s="1"/>
  <c r="I62" i="97"/>
  <c r="G62" i="97"/>
  <c r="J62" i="97" s="1"/>
  <c r="O61" i="97"/>
  <c r="M61" i="97"/>
  <c r="L61" i="97"/>
  <c r="I61" i="97"/>
  <c r="G61" i="97"/>
  <c r="O60" i="97"/>
  <c r="L60" i="97"/>
  <c r="M60" i="97" s="1"/>
  <c r="P60" i="97" s="1"/>
  <c r="I60" i="97"/>
  <c r="G60" i="97"/>
  <c r="O59" i="97"/>
  <c r="L59" i="97"/>
  <c r="M59" i="97" s="1"/>
  <c r="P59" i="97" s="1"/>
  <c r="J59" i="97"/>
  <c r="I59" i="97"/>
  <c r="G59" i="97"/>
  <c r="O58" i="97"/>
  <c r="L58" i="97"/>
  <c r="M58" i="97" s="1"/>
  <c r="I58" i="97"/>
  <c r="J58" i="97" s="1"/>
  <c r="G58" i="97"/>
  <c r="O57" i="97"/>
  <c r="M57" i="97"/>
  <c r="L57" i="97"/>
  <c r="I57" i="97"/>
  <c r="G57" i="97"/>
  <c r="J57" i="97" s="1"/>
  <c r="O56" i="97"/>
  <c r="L56" i="97"/>
  <c r="M56" i="97" s="1"/>
  <c r="P56" i="97" s="1"/>
  <c r="I56" i="97"/>
  <c r="G56" i="97"/>
  <c r="O55" i="97"/>
  <c r="L55" i="97"/>
  <c r="M55" i="97" s="1"/>
  <c r="P55" i="97" s="1"/>
  <c r="I55" i="97"/>
  <c r="G55" i="97"/>
  <c r="J55" i="97" s="1"/>
  <c r="P54" i="97"/>
  <c r="O54" i="97"/>
  <c r="L54" i="97"/>
  <c r="M54" i="97" s="1"/>
  <c r="J54" i="97"/>
  <c r="R54" i="97" s="1"/>
  <c r="X54" i="97" s="1"/>
  <c r="AF54" i="97" s="1"/>
  <c r="I54" i="97"/>
  <c r="G54" i="97"/>
  <c r="O53" i="97"/>
  <c r="M53" i="97"/>
  <c r="L53" i="97"/>
  <c r="I53" i="97"/>
  <c r="G53" i="97"/>
  <c r="O52" i="97"/>
  <c r="M52" i="97"/>
  <c r="L52" i="97"/>
  <c r="I52" i="97"/>
  <c r="G52" i="97"/>
  <c r="O51" i="97"/>
  <c r="L51" i="97"/>
  <c r="I51" i="97"/>
  <c r="G51" i="97"/>
  <c r="J51" i="97" s="1"/>
  <c r="O50" i="97"/>
  <c r="L50" i="97"/>
  <c r="M50" i="97" s="1"/>
  <c r="I50" i="97"/>
  <c r="G50" i="97"/>
  <c r="V47" i="97"/>
  <c r="T47" i="97"/>
  <c r="N47" i="97"/>
  <c r="H47" i="97"/>
  <c r="F47" i="97"/>
  <c r="O46" i="97"/>
  <c r="M46" i="97"/>
  <c r="L46" i="97"/>
  <c r="I46" i="97"/>
  <c r="G46" i="97"/>
  <c r="O45" i="97"/>
  <c r="L45" i="97"/>
  <c r="M45" i="97" s="1"/>
  <c r="P45" i="97" s="1"/>
  <c r="I45" i="97"/>
  <c r="G45" i="97"/>
  <c r="O44" i="97"/>
  <c r="L44" i="97"/>
  <c r="M44" i="97" s="1"/>
  <c r="P44" i="97" s="1"/>
  <c r="I44" i="97"/>
  <c r="G44" i="97"/>
  <c r="J44" i="97" s="1"/>
  <c r="R44" i="97" s="1"/>
  <c r="X44" i="97" s="1"/>
  <c r="AF44" i="97" s="1"/>
  <c r="P43" i="97"/>
  <c r="O43" i="97"/>
  <c r="L43" i="97"/>
  <c r="M43" i="97" s="1"/>
  <c r="J43" i="97"/>
  <c r="R43" i="97" s="1"/>
  <c r="X43" i="97" s="1"/>
  <c r="AF43" i="97" s="1"/>
  <c r="I43" i="97"/>
  <c r="G43" i="97"/>
  <c r="O42" i="97"/>
  <c r="M42" i="97"/>
  <c r="I42" i="97"/>
  <c r="G42" i="97"/>
  <c r="O41" i="97"/>
  <c r="L41" i="97"/>
  <c r="M41" i="97" s="1"/>
  <c r="P41" i="97" s="1"/>
  <c r="J41" i="97"/>
  <c r="I41" i="97"/>
  <c r="G41" i="97"/>
  <c r="B41" i="97"/>
  <c r="B42" i="97" s="1"/>
  <c r="B43" i="97" s="1"/>
  <c r="B44" i="97" s="1"/>
  <c r="B45" i="97" s="1"/>
  <c r="B46" i="97" s="1"/>
  <c r="B47" i="97" s="1"/>
  <c r="B50" i="97" s="1"/>
  <c r="B51" i="97" s="1"/>
  <c r="B52" i="97" s="1"/>
  <c r="B53" i="97" s="1"/>
  <c r="B54" i="97" s="1"/>
  <c r="B55" i="97" s="1"/>
  <c r="B56" i="97" s="1"/>
  <c r="B57" i="97" s="1"/>
  <c r="B58" i="97" s="1"/>
  <c r="B59" i="97" s="1"/>
  <c r="B60" i="97" s="1"/>
  <c r="B61" i="97" s="1"/>
  <c r="B62" i="97" s="1"/>
  <c r="B63" i="97" s="1"/>
  <c r="B64" i="97" s="1"/>
  <c r="B65" i="97" s="1"/>
  <c r="B66" i="97" s="1"/>
  <c r="B67" i="97" s="1"/>
  <c r="B68" i="97" s="1"/>
  <c r="B69" i="97" s="1"/>
  <c r="B70" i="97" s="1"/>
  <c r="B71" i="97" s="1"/>
  <c r="B73" i="97" s="1"/>
  <c r="O40" i="97"/>
  <c r="L40" i="97"/>
  <c r="M40" i="97" s="1"/>
  <c r="I40" i="97"/>
  <c r="G40" i="97"/>
  <c r="T36" i="97"/>
  <c r="T73" i="97" s="1"/>
  <c r="N36" i="97"/>
  <c r="N73" i="97" s="1"/>
  <c r="H36" i="97"/>
  <c r="H73" i="97" s="1"/>
  <c r="F36" i="97"/>
  <c r="F73" i="97" s="1"/>
  <c r="B36" i="97"/>
  <c r="B40" i="97" s="1"/>
  <c r="O35" i="97"/>
  <c r="P35" i="97" s="1"/>
  <c r="M35" i="97"/>
  <c r="I35" i="97"/>
  <c r="G35" i="97"/>
  <c r="O34" i="97"/>
  <c r="M34" i="97"/>
  <c r="P34" i="97" s="1"/>
  <c r="R34" i="97" s="1"/>
  <c r="I34" i="97"/>
  <c r="G34" i="97"/>
  <c r="P33" i="97"/>
  <c r="R33" i="97" s="1"/>
  <c r="X33" i="97" s="1"/>
  <c r="AF33" i="97" s="1"/>
  <c r="O33" i="97"/>
  <c r="L33" i="97"/>
  <c r="M33" i="97" s="1"/>
  <c r="I33" i="97"/>
  <c r="G33" i="97"/>
  <c r="O32" i="97"/>
  <c r="M32" i="97"/>
  <c r="L32" i="97"/>
  <c r="I32" i="97"/>
  <c r="G32" i="97"/>
  <c r="O31" i="97"/>
  <c r="L31" i="97"/>
  <c r="M31" i="97" s="1"/>
  <c r="P31" i="97" s="1"/>
  <c r="J31" i="97"/>
  <c r="R31" i="97" s="1"/>
  <c r="X31" i="97" s="1"/>
  <c r="AF31" i="97" s="1"/>
  <c r="I31" i="97"/>
  <c r="G31" i="97"/>
  <c r="O30" i="97"/>
  <c r="M30" i="97"/>
  <c r="L30" i="97"/>
  <c r="I30" i="97"/>
  <c r="G30" i="97"/>
  <c r="P29" i="97"/>
  <c r="O29" i="97"/>
  <c r="L29" i="97"/>
  <c r="M29" i="97" s="1"/>
  <c r="J29" i="97"/>
  <c r="I29" i="97"/>
  <c r="G29" i="97"/>
  <c r="O28" i="97"/>
  <c r="M28" i="97"/>
  <c r="P28" i="97" s="1"/>
  <c r="L28" i="97"/>
  <c r="I28" i="97"/>
  <c r="G28" i="97"/>
  <c r="O27" i="97"/>
  <c r="L27" i="97"/>
  <c r="M27" i="97" s="1"/>
  <c r="I27" i="97"/>
  <c r="G27" i="97"/>
  <c r="J27" i="97" s="1"/>
  <c r="O26" i="97"/>
  <c r="L26" i="97"/>
  <c r="M26" i="97" s="1"/>
  <c r="P26" i="97" s="1"/>
  <c r="I26" i="97"/>
  <c r="G26" i="97"/>
  <c r="O25" i="97"/>
  <c r="L25" i="97"/>
  <c r="M25" i="97" s="1"/>
  <c r="P25" i="97" s="1"/>
  <c r="I25" i="97"/>
  <c r="J25" i="97" s="1"/>
  <c r="G25" i="97"/>
  <c r="O24" i="97"/>
  <c r="L24" i="97"/>
  <c r="M24" i="97" s="1"/>
  <c r="I24" i="97"/>
  <c r="G24" i="97"/>
  <c r="O23" i="97"/>
  <c r="L23" i="97"/>
  <c r="M23" i="97" s="1"/>
  <c r="I23" i="97"/>
  <c r="G23" i="97"/>
  <c r="J23" i="97" s="1"/>
  <c r="O22" i="97"/>
  <c r="M22" i="97"/>
  <c r="L22" i="97"/>
  <c r="I22" i="97"/>
  <c r="G22" i="97"/>
  <c r="O21" i="97"/>
  <c r="L21" i="97"/>
  <c r="M21" i="97" s="1"/>
  <c r="P21" i="97" s="1"/>
  <c r="J21" i="97"/>
  <c r="I21" i="97"/>
  <c r="G21" i="97"/>
  <c r="O20" i="97"/>
  <c r="M20" i="97"/>
  <c r="L20" i="97"/>
  <c r="I20" i="97"/>
  <c r="G20" i="97"/>
  <c r="O19" i="97"/>
  <c r="L19" i="97"/>
  <c r="M19" i="97" s="1"/>
  <c r="J19" i="97"/>
  <c r="I19" i="97"/>
  <c r="G19" i="97"/>
  <c r="O18" i="97"/>
  <c r="M18" i="97"/>
  <c r="P18" i="97" s="1"/>
  <c r="L18" i="97"/>
  <c r="I18" i="97"/>
  <c r="G18" i="97"/>
  <c r="O17" i="97"/>
  <c r="L17" i="97"/>
  <c r="M17" i="97" s="1"/>
  <c r="I17" i="97"/>
  <c r="G17" i="97"/>
  <c r="J17" i="97" s="1"/>
  <c r="O16" i="97"/>
  <c r="P16" i="97" s="1"/>
  <c r="L16" i="97"/>
  <c r="M16" i="97" s="1"/>
  <c r="I16" i="97"/>
  <c r="G16" i="97"/>
  <c r="O15" i="97"/>
  <c r="M15" i="97"/>
  <c r="L15" i="97"/>
  <c r="I15" i="97"/>
  <c r="G15" i="97"/>
  <c r="O14" i="97"/>
  <c r="L14" i="97"/>
  <c r="M14" i="97" s="1"/>
  <c r="P14" i="97" s="1"/>
  <c r="J14" i="97"/>
  <c r="I14" i="97"/>
  <c r="G14" i="97"/>
  <c r="O13" i="97"/>
  <c r="L13" i="97"/>
  <c r="I13" i="97"/>
  <c r="G13" i="97"/>
  <c r="P12" i="97"/>
  <c r="O12" i="97"/>
  <c r="L12" i="97"/>
  <c r="M12" i="97" s="1"/>
  <c r="I12" i="97"/>
  <c r="G12" i="97"/>
  <c r="G36" i="97" s="1"/>
  <c r="Q241" i="96"/>
  <c r="O241" i="96"/>
  <c r="M241" i="96"/>
  <c r="K241" i="96"/>
  <c r="M212" i="96"/>
  <c r="K212" i="96"/>
  <c r="M211" i="96"/>
  <c r="K211" i="96"/>
  <c r="M210" i="96"/>
  <c r="K210" i="96"/>
  <c r="O209" i="96"/>
  <c r="M209" i="96"/>
  <c r="M214" i="96" s="1"/>
  <c r="M218" i="96" s="1"/>
  <c r="M228" i="96" s="1"/>
  <c r="M230" i="96" s="1"/>
  <c r="K209" i="96"/>
  <c r="O196" i="96"/>
  <c r="M196" i="96"/>
  <c r="K196" i="96"/>
  <c r="O195" i="96"/>
  <c r="M195" i="96"/>
  <c r="K195" i="96"/>
  <c r="O194" i="96"/>
  <c r="M194" i="96"/>
  <c r="Q194" i="96" s="1"/>
  <c r="K194" i="96"/>
  <c r="O193" i="96"/>
  <c r="M193" i="96"/>
  <c r="Q193" i="96" s="1"/>
  <c r="K193" i="96"/>
  <c r="K198" i="96" s="1"/>
  <c r="O187" i="96"/>
  <c r="M187" i="96"/>
  <c r="K187" i="96"/>
  <c r="M186" i="96"/>
  <c r="K186" i="96"/>
  <c r="O185" i="96"/>
  <c r="M185" i="96"/>
  <c r="Q185" i="96" s="1"/>
  <c r="K185" i="96"/>
  <c r="O184" i="96"/>
  <c r="M184" i="96"/>
  <c r="K184" i="96"/>
  <c r="M178" i="96"/>
  <c r="Q178" i="96" s="1"/>
  <c r="K178" i="96"/>
  <c r="M177" i="96"/>
  <c r="K177" i="96"/>
  <c r="M176" i="96"/>
  <c r="K176" i="96"/>
  <c r="M175" i="96"/>
  <c r="K175" i="96"/>
  <c r="O162" i="96"/>
  <c r="M162" i="96"/>
  <c r="K162" i="96"/>
  <c r="Q160" i="96"/>
  <c r="Q159" i="96"/>
  <c r="Q158" i="96"/>
  <c r="Q157" i="96"/>
  <c r="M153" i="96"/>
  <c r="K153" i="96"/>
  <c r="Q151" i="96"/>
  <c r="O150" i="96"/>
  <c r="Q149" i="96"/>
  <c r="Q148" i="96"/>
  <c r="M144" i="96"/>
  <c r="K144" i="96"/>
  <c r="Q142" i="96"/>
  <c r="O142" i="96"/>
  <c r="O178" i="96" s="1"/>
  <c r="O141" i="96"/>
  <c r="O140" i="96"/>
  <c r="Q139" i="96"/>
  <c r="O139" i="96"/>
  <c r="O175" i="96" s="1"/>
  <c r="Q175" i="96" s="1"/>
  <c r="M107" i="96"/>
  <c r="M106" i="96"/>
  <c r="M105" i="96"/>
  <c r="M104" i="96"/>
  <c r="O91" i="96"/>
  <c r="M91" i="96"/>
  <c r="L80" i="95" s="1"/>
  <c r="O90" i="96"/>
  <c r="M90" i="96"/>
  <c r="O89" i="96"/>
  <c r="M89" i="96"/>
  <c r="O88" i="96"/>
  <c r="M88" i="96"/>
  <c r="M82" i="96"/>
  <c r="M81" i="96"/>
  <c r="M80" i="96"/>
  <c r="M79" i="96"/>
  <c r="M73" i="96"/>
  <c r="M72" i="96"/>
  <c r="M71" i="96"/>
  <c r="M70" i="96"/>
  <c r="O57" i="96"/>
  <c r="O59" i="96" s="1"/>
  <c r="M57" i="96"/>
  <c r="M59" i="96" s="1"/>
  <c r="K57" i="96"/>
  <c r="K59" i="96" s="1"/>
  <c r="Q55" i="96"/>
  <c r="Q54" i="96"/>
  <c r="Q90" i="96" s="1"/>
  <c r="Q53" i="96"/>
  <c r="Q52" i="96"/>
  <c r="O39" i="96"/>
  <c r="M39" i="96"/>
  <c r="Q37" i="96"/>
  <c r="K37" i="96"/>
  <c r="K91" i="96" s="1"/>
  <c r="Q35" i="96"/>
  <c r="Q89" i="96" s="1"/>
  <c r="K35" i="96"/>
  <c r="K89" i="96" s="1"/>
  <c r="Q34" i="96"/>
  <c r="Q88" i="96" s="1"/>
  <c r="K34" i="96"/>
  <c r="M30" i="96"/>
  <c r="K28" i="96"/>
  <c r="O28" i="96" s="1"/>
  <c r="Q28" i="96" s="1"/>
  <c r="K26" i="96"/>
  <c r="O26" i="96" s="1"/>
  <c r="O80" i="96" s="1"/>
  <c r="K25" i="96"/>
  <c r="K79" i="96" s="1"/>
  <c r="M21" i="96"/>
  <c r="K18" i="96"/>
  <c r="K17" i="96"/>
  <c r="K71" i="96" s="1"/>
  <c r="C16" i="96"/>
  <c r="C17" i="96" s="1"/>
  <c r="C18" i="96" s="1"/>
  <c r="C19" i="96" s="1"/>
  <c r="C21" i="96" s="1"/>
  <c r="C23" i="96" s="1"/>
  <c r="C25" i="96" s="1"/>
  <c r="C26" i="96" s="1"/>
  <c r="C27" i="96" s="1"/>
  <c r="C28" i="96" s="1"/>
  <c r="C30" i="96" s="1"/>
  <c r="C32" i="96" s="1"/>
  <c r="C34" i="96" s="1"/>
  <c r="C35" i="96" s="1"/>
  <c r="C36" i="96" s="1"/>
  <c r="C37" i="96" s="1"/>
  <c r="C39" i="96" s="1"/>
  <c r="C41" i="96" s="1"/>
  <c r="C50" i="96" s="1"/>
  <c r="C52" i="96" s="1"/>
  <c r="C53" i="96" s="1"/>
  <c r="C54" i="96" s="1"/>
  <c r="C55" i="96" s="1"/>
  <c r="C57" i="96" s="1"/>
  <c r="C59" i="96" s="1"/>
  <c r="C68" i="96" s="1"/>
  <c r="C70" i="96" s="1"/>
  <c r="C71" i="96" s="1"/>
  <c r="C72" i="96" s="1"/>
  <c r="C73" i="96" s="1"/>
  <c r="C75" i="96" s="1"/>
  <c r="C77" i="96" s="1"/>
  <c r="C79" i="96" s="1"/>
  <c r="C80" i="96" s="1"/>
  <c r="C81" i="96" s="1"/>
  <c r="C82" i="96" s="1"/>
  <c r="C84" i="96" s="1"/>
  <c r="C86" i="96" s="1"/>
  <c r="C88" i="96" s="1"/>
  <c r="C89" i="96" s="1"/>
  <c r="C90" i="96" s="1"/>
  <c r="C91" i="96" s="1"/>
  <c r="C93" i="96" s="1"/>
  <c r="C95" i="96" s="1"/>
  <c r="C104" i="96" s="1"/>
  <c r="C105" i="96" s="1"/>
  <c r="C106" i="96" s="1"/>
  <c r="C107" i="96" s="1"/>
  <c r="C109" i="96" s="1"/>
  <c r="C111" i="96" s="1"/>
  <c r="C113" i="96" s="1"/>
  <c r="C122" i="96" s="1"/>
  <c r="C123" i="96" s="1"/>
  <c r="C125" i="96" s="1"/>
  <c r="C137" i="96" s="1"/>
  <c r="C139" i="96" s="1"/>
  <c r="C140" i="96" s="1"/>
  <c r="C141" i="96" s="1"/>
  <c r="C142" i="96" s="1"/>
  <c r="C144" i="96" s="1"/>
  <c r="C146" i="96" s="1"/>
  <c r="C148" i="96" s="1"/>
  <c r="C149" i="96" s="1"/>
  <c r="C150" i="96" s="1"/>
  <c r="C151" i="96" s="1"/>
  <c r="C153" i="96" s="1"/>
  <c r="C155" i="96" s="1"/>
  <c r="C157" i="96" s="1"/>
  <c r="C158" i="96" s="1"/>
  <c r="C159" i="96" s="1"/>
  <c r="C160" i="96" s="1"/>
  <c r="C162" i="96" s="1"/>
  <c r="C164" i="96" s="1"/>
  <c r="D237" i="95"/>
  <c r="O140" i="95" s="1"/>
  <c r="R215" i="95"/>
  <c r="L215" i="95"/>
  <c r="L217" i="95" s="1"/>
  <c r="R211" i="95"/>
  <c r="L211" i="95"/>
  <c r="N207" i="95"/>
  <c r="J207" i="95"/>
  <c r="E207" i="95"/>
  <c r="Q206" i="95"/>
  <c r="Q205" i="95"/>
  <c r="F205" i="95"/>
  <c r="F204" i="95" s="1"/>
  <c r="Q204" i="95"/>
  <c r="Q203" i="95"/>
  <c r="Q202" i="95"/>
  <c r="Q201" i="95"/>
  <c r="Q200" i="95"/>
  <c r="Q199" i="95"/>
  <c r="H199" i="95"/>
  <c r="K199" i="95" s="1"/>
  <c r="G199" i="95"/>
  <c r="G200" i="95" s="1"/>
  <c r="G201" i="95" s="1"/>
  <c r="G202" i="95" s="1"/>
  <c r="G203" i="95" s="1"/>
  <c r="G204" i="95" s="1"/>
  <c r="G205" i="95" s="1"/>
  <c r="Q198" i="95"/>
  <c r="H198" i="95"/>
  <c r="K198" i="95" s="1"/>
  <c r="Q197" i="95"/>
  <c r="K197" i="95"/>
  <c r="H197" i="95"/>
  <c r="Q196" i="95"/>
  <c r="H196" i="95"/>
  <c r="K196" i="95" s="1"/>
  <c r="G196" i="95"/>
  <c r="G197" i="95" s="1"/>
  <c r="G198" i="95" s="1"/>
  <c r="Q195" i="95"/>
  <c r="H195" i="95"/>
  <c r="K195" i="95" s="1"/>
  <c r="L195" i="95" s="1"/>
  <c r="R182" i="95"/>
  <c r="L182" i="95"/>
  <c r="R178" i="95"/>
  <c r="L178" i="95"/>
  <c r="L184" i="95" s="1"/>
  <c r="N174" i="95"/>
  <c r="J174" i="95"/>
  <c r="E174" i="95"/>
  <c r="Q173" i="95"/>
  <c r="Q172" i="95"/>
  <c r="F172" i="95"/>
  <c r="F171" i="95" s="1"/>
  <c r="Q171" i="95"/>
  <c r="Q170" i="95"/>
  <c r="Q169" i="95"/>
  <c r="Q168" i="95"/>
  <c r="Q167" i="95"/>
  <c r="Q166" i="95"/>
  <c r="H166" i="95"/>
  <c r="K166" i="95" s="1"/>
  <c r="Q165" i="95"/>
  <c r="H165" i="95"/>
  <c r="K165" i="95" s="1"/>
  <c r="Q164" i="95"/>
  <c r="K164" i="95"/>
  <c r="H164" i="95"/>
  <c r="Q163" i="95"/>
  <c r="H163" i="95"/>
  <c r="K163" i="95" s="1"/>
  <c r="G163" i="95"/>
  <c r="G164" i="95" s="1"/>
  <c r="G165" i="95" s="1"/>
  <c r="G166" i="95" s="1"/>
  <c r="G167" i="95" s="1"/>
  <c r="G168" i="95" s="1"/>
  <c r="G169" i="95" s="1"/>
  <c r="G170" i="95" s="1"/>
  <c r="G171" i="95" s="1"/>
  <c r="G172" i="95" s="1"/>
  <c r="Q162" i="95"/>
  <c r="H162" i="95"/>
  <c r="K162" i="95" s="1"/>
  <c r="L162" i="95" s="1"/>
  <c r="R149" i="95"/>
  <c r="R151" i="95" s="1"/>
  <c r="L149" i="95"/>
  <c r="R145" i="95"/>
  <c r="L145" i="95"/>
  <c r="L151" i="95" s="1"/>
  <c r="N141" i="95"/>
  <c r="J141" i="95"/>
  <c r="E141" i="95"/>
  <c r="Q140" i="95"/>
  <c r="Q139" i="95"/>
  <c r="F139" i="95"/>
  <c r="Q138" i="95"/>
  <c r="F138" i="95"/>
  <c r="Q137" i="95"/>
  <c r="Q136" i="95"/>
  <c r="Q135" i="95"/>
  <c r="Q134" i="95"/>
  <c r="Q133" i="95"/>
  <c r="H133" i="95"/>
  <c r="K133" i="95" s="1"/>
  <c r="Q132" i="95"/>
  <c r="K132" i="95"/>
  <c r="H132" i="95"/>
  <c r="Q131" i="95"/>
  <c r="H131" i="95"/>
  <c r="K131" i="95" s="1"/>
  <c r="G131" i="95"/>
  <c r="G132" i="95" s="1"/>
  <c r="G133" i="95" s="1"/>
  <c r="G134" i="95" s="1"/>
  <c r="G135" i="95" s="1"/>
  <c r="G136" i="95" s="1"/>
  <c r="G137" i="95" s="1"/>
  <c r="G138" i="95" s="1"/>
  <c r="G139" i="95" s="1"/>
  <c r="Q130" i="95"/>
  <c r="H130" i="95"/>
  <c r="K130" i="95" s="1"/>
  <c r="G130" i="95"/>
  <c r="Q129" i="95"/>
  <c r="R129" i="95" s="1"/>
  <c r="H129" i="95"/>
  <c r="K129" i="95" s="1"/>
  <c r="L129" i="95" s="1"/>
  <c r="N94" i="95"/>
  <c r="J94" i="95"/>
  <c r="E94" i="95"/>
  <c r="Q93" i="95"/>
  <c r="Q92" i="95"/>
  <c r="F92" i="95"/>
  <c r="F91" i="95" s="1"/>
  <c r="Q91" i="95"/>
  <c r="Q90" i="95"/>
  <c r="Q89" i="95"/>
  <c r="Q88" i="95"/>
  <c r="Q87" i="95"/>
  <c r="Q86" i="95"/>
  <c r="H86" i="95"/>
  <c r="K86" i="95" s="1"/>
  <c r="Q85" i="95"/>
  <c r="K85" i="95"/>
  <c r="H85" i="95"/>
  <c r="Q84" i="95"/>
  <c r="H84" i="95"/>
  <c r="K84" i="95" s="1"/>
  <c r="Q83" i="95"/>
  <c r="H83" i="95"/>
  <c r="K83" i="95" s="1"/>
  <c r="G83" i="95"/>
  <c r="G84" i="95" s="1"/>
  <c r="G85" i="95" s="1"/>
  <c r="G86" i="95" s="1"/>
  <c r="G87" i="95" s="1"/>
  <c r="G88" i="95" s="1"/>
  <c r="G89" i="95" s="1"/>
  <c r="G90" i="95" s="1"/>
  <c r="G91" i="95" s="1"/>
  <c r="G92" i="95" s="1"/>
  <c r="G93" i="95" s="1"/>
  <c r="H93" i="95" s="1"/>
  <c r="K93" i="95" s="1"/>
  <c r="Q82" i="95"/>
  <c r="H82" i="95"/>
  <c r="K82" i="95" s="1"/>
  <c r="E61" i="95"/>
  <c r="F59" i="95"/>
  <c r="F58" i="95" s="1"/>
  <c r="F57" i="95" s="1"/>
  <c r="F56" i="95" s="1"/>
  <c r="F55" i="95" s="1"/>
  <c r="F54" i="95" s="1"/>
  <c r="H53" i="95"/>
  <c r="H52" i="95"/>
  <c r="K51" i="95"/>
  <c r="H51" i="95"/>
  <c r="H50" i="95"/>
  <c r="G50" i="95"/>
  <c r="G51" i="95" s="1"/>
  <c r="G52" i="95" s="1"/>
  <c r="G53" i="95" s="1"/>
  <c r="G54" i="95" s="1"/>
  <c r="G55" i="95" s="1"/>
  <c r="G56" i="95" s="1"/>
  <c r="G57" i="95" s="1"/>
  <c r="H49" i="95"/>
  <c r="N28" i="95"/>
  <c r="E28" i="95"/>
  <c r="J27" i="95"/>
  <c r="Q26" i="95"/>
  <c r="J26" i="95"/>
  <c r="F26" i="95"/>
  <c r="F25" i="95" s="1"/>
  <c r="J25" i="95"/>
  <c r="Q25" i="95" s="1"/>
  <c r="J24" i="95"/>
  <c r="O24" i="95" s="1"/>
  <c r="Q23" i="95"/>
  <c r="J23" i="95"/>
  <c r="Q22" i="95"/>
  <c r="J22" i="95"/>
  <c r="J21" i="95"/>
  <c r="Q21" i="95" s="1"/>
  <c r="J20" i="95"/>
  <c r="H20" i="95"/>
  <c r="J19" i="95"/>
  <c r="K19" i="95" s="1"/>
  <c r="H19" i="95"/>
  <c r="J18" i="95"/>
  <c r="H18" i="95"/>
  <c r="J17" i="95"/>
  <c r="Q17" i="95" s="1"/>
  <c r="H17" i="95"/>
  <c r="G17" i="95"/>
  <c r="G18" i="95" s="1"/>
  <c r="G19" i="95" s="1"/>
  <c r="G20" i="95" s="1"/>
  <c r="G21" i="95" s="1"/>
  <c r="G22" i="95" s="1"/>
  <c r="G23" i="95" s="1"/>
  <c r="G24" i="95" s="1"/>
  <c r="G25" i="95" s="1"/>
  <c r="G26" i="95" s="1"/>
  <c r="G27" i="95" s="1"/>
  <c r="H27" i="95" s="1"/>
  <c r="B17" i="95"/>
  <c r="B18" i="95" s="1"/>
  <c r="B19" i="95" s="1"/>
  <c r="B20" i="95" s="1"/>
  <c r="B21" i="95" s="1"/>
  <c r="B22" i="95" s="1"/>
  <c r="B23" i="95" s="1"/>
  <c r="B24" i="95" s="1"/>
  <c r="B25" i="95" s="1"/>
  <c r="B26" i="95" s="1"/>
  <c r="B27" i="95" s="1"/>
  <c r="J16" i="95"/>
  <c r="H16" i="95"/>
  <c r="B16" i="95"/>
  <c r="L14" i="95"/>
  <c r="I308" i="94"/>
  <c r="H308" i="94"/>
  <c r="H314" i="94" s="1"/>
  <c r="G308" i="94"/>
  <c r="G314" i="94" s="1"/>
  <c r="F308" i="94"/>
  <c r="F314" i="94" s="1"/>
  <c r="E308" i="94"/>
  <c r="H286" i="94"/>
  <c r="I284" i="94"/>
  <c r="I288" i="94" s="1"/>
  <c r="H284" i="94"/>
  <c r="G284" i="94"/>
  <c r="G288" i="94" s="1"/>
  <c r="G294" i="94" s="1"/>
  <c r="G15" i="94" s="1"/>
  <c r="F284" i="94"/>
  <c r="F288" i="94" s="1"/>
  <c r="F294" i="94" s="1"/>
  <c r="F15" i="94" s="1"/>
  <c r="E284" i="94"/>
  <c r="E288" i="94" s="1"/>
  <c r="I238" i="94"/>
  <c r="I260" i="94" s="1"/>
  <c r="H238" i="94"/>
  <c r="H245" i="94" s="1"/>
  <c r="G238" i="94"/>
  <c r="F238" i="94"/>
  <c r="F260" i="94" s="1"/>
  <c r="E238" i="94"/>
  <c r="E245" i="94" s="1"/>
  <c r="E216" i="94"/>
  <c r="E215" i="94"/>
  <c r="E214" i="94"/>
  <c r="E213" i="94"/>
  <c r="I211" i="94"/>
  <c r="I259" i="94" s="1"/>
  <c r="H211" i="94"/>
  <c r="G211" i="94"/>
  <c r="G259" i="94" s="1"/>
  <c r="F211" i="94"/>
  <c r="F259" i="94" s="1"/>
  <c r="E153" i="94"/>
  <c r="E152" i="94"/>
  <c r="E151" i="94"/>
  <c r="E150" i="94"/>
  <c r="I148" i="94"/>
  <c r="I155" i="94" s="1"/>
  <c r="H148" i="94"/>
  <c r="H169" i="94" s="1"/>
  <c r="G148" i="94"/>
  <c r="G169" i="94" s="1"/>
  <c r="F148" i="94"/>
  <c r="F169" i="94" s="1"/>
  <c r="E148" i="94"/>
  <c r="E129" i="94"/>
  <c r="I124" i="94"/>
  <c r="I168" i="94" s="1"/>
  <c r="G124" i="94"/>
  <c r="E123" i="94"/>
  <c r="H124" i="94"/>
  <c r="F168" i="94"/>
  <c r="I79" i="94"/>
  <c r="I100" i="94" s="1"/>
  <c r="H79" i="94"/>
  <c r="H86" i="94" s="1"/>
  <c r="H92" i="94" s="1"/>
  <c r="G79" i="94"/>
  <c r="G100" i="94" s="1"/>
  <c r="F79" i="94"/>
  <c r="E79" i="94"/>
  <c r="E86" i="94" s="1"/>
  <c r="E57" i="94"/>
  <c r="E56" i="94"/>
  <c r="E55" i="94"/>
  <c r="E54" i="94"/>
  <c r="I59" i="94"/>
  <c r="I65" i="94" s="1"/>
  <c r="I11" i="94" s="1"/>
  <c r="H65" i="94"/>
  <c r="H11" i="94" s="1"/>
  <c r="G99" i="94"/>
  <c r="B17" i="94"/>
  <c r="B22" i="94" s="1"/>
  <c r="E12" i="94"/>
  <c r="B12" i="94"/>
  <c r="B13" i="94" s="1"/>
  <c r="B14" i="94" s="1"/>
  <c r="B15" i="94" s="1"/>
  <c r="I307" i="93"/>
  <c r="H307" i="93"/>
  <c r="G307" i="93"/>
  <c r="G313" i="93" s="1"/>
  <c r="F307" i="93"/>
  <c r="F313" i="93" s="1"/>
  <c r="E307" i="93"/>
  <c r="I283" i="93"/>
  <c r="I287" i="93" s="1"/>
  <c r="G283" i="93"/>
  <c r="G287" i="93" s="1"/>
  <c r="G293" i="93" s="1"/>
  <c r="G15" i="93" s="1"/>
  <c r="F283" i="93"/>
  <c r="F287" i="93" s="1"/>
  <c r="F293" i="93" s="1"/>
  <c r="H283" i="93"/>
  <c r="E242" i="93"/>
  <c r="E241" i="93"/>
  <c r="E240" i="93"/>
  <c r="E239" i="93"/>
  <c r="I237" i="93"/>
  <c r="I259" i="93" s="1"/>
  <c r="H237" i="93"/>
  <c r="H259" i="93" s="1"/>
  <c r="G237" i="93"/>
  <c r="F237" i="93"/>
  <c r="F259" i="93" s="1"/>
  <c r="E237" i="93"/>
  <c r="E215" i="93"/>
  <c r="E214" i="93"/>
  <c r="E213" i="93"/>
  <c r="E212" i="93"/>
  <c r="I210" i="93"/>
  <c r="I217" i="93" s="1"/>
  <c r="H210" i="93"/>
  <c r="G210" i="93"/>
  <c r="G258" i="93" s="1"/>
  <c r="E157" i="93"/>
  <c r="E156" i="93"/>
  <c r="E155" i="93"/>
  <c r="E154" i="93"/>
  <c r="I152" i="93"/>
  <c r="I159" i="93" s="1"/>
  <c r="H152" i="93"/>
  <c r="H159" i="93" s="1"/>
  <c r="G152" i="93"/>
  <c r="F152" i="93"/>
  <c r="F173" i="93" s="1"/>
  <c r="E148" i="93"/>
  <c r="I128" i="93"/>
  <c r="I135" i="93" s="1"/>
  <c r="G128" i="93"/>
  <c r="G172" i="93" s="1"/>
  <c r="H128" i="93"/>
  <c r="H172" i="93" s="1"/>
  <c r="E89" i="93"/>
  <c r="E88" i="93"/>
  <c r="E87" i="93"/>
  <c r="E86" i="93"/>
  <c r="I84" i="93"/>
  <c r="H84" i="93"/>
  <c r="H105" i="93" s="1"/>
  <c r="G84" i="93"/>
  <c r="G105" i="93" s="1"/>
  <c r="F84" i="93"/>
  <c r="F105" i="93" s="1"/>
  <c r="E84" i="93"/>
  <c r="I57" i="93"/>
  <c r="I104" i="93" s="1"/>
  <c r="H57" i="93"/>
  <c r="H104" i="93" s="1"/>
  <c r="G57" i="93"/>
  <c r="G104" i="93" s="1"/>
  <c r="F57" i="93"/>
  <c r="H206" i="48"/>
  <c r="B17" i="93"/>
  <c r="B22" i="93" s="1"/>
  <c r="E12" i="93"/>
  <c r="B12" i="93"/>
  <c r="B13" i="93" s="1"/>
  <c r="B14" i="93" s="1"/>
  <c r="B15" i="93" s="1"/>
  <c r="E177" i="92"/>
  <c r="R166" i="92"/>
  <c r="L166" i="92"/>
  <c r="R162" i="92"/>
  <c r="R168" i="92" s="1"/>
  <c r="L162" i="92"/>
  <c r="L168" i="92" s="1"/>
  <c r="N158" i="92"/>
  <c r="J158" i="92"/>
  <c r="E158" i="92"/>
  <c r="Q157" i="92"/>
  <c r="O157" i="92"/>
  <c r="P157" i="92" s="1"/>
  <c r="Q156" i="92"/>
  <c r="O156" i="92"/>
  <c r="P156" i="92" s="1"/>
  <c r="F156" i="92"/>
  <c r="Q155" i="92"/>
  <c r="O155" i="92"/>
  <c r="P155" i="92" s="1"/>
  <c r="Q154" i="92"/>
  <c r="P154" i="92"/>
  <c r="O154" i="92"/>
  <c r="Q153" i="92"/>
  <c r="O153" i="92"/>
  <c r="P153" i="92" s="1"/>
  <c r="Q152" i="92"/>
  <c r="P152" i="92"/>
  <c r="O152" i="92"/>
  <c r="Q151" i="92"/>
  <c r="O151" i="92"/>
  <c r="P151" i="92" s="1"/>
  <c r="Q150" i="92"/>
  <c r="O150" i="92"/>
  <c r="P150" i="92" s="1"/>
  <c r="K150" i="92"/>
  <c r="H150" i="92"/>
  <c r="Q149" i="92"/>
  <c r="O149" i="92"/>
  <c r="P149" i="92" s="1"/>
  <c r="H149" i="92"/>
  <c r="K149" i="92" s="1"/>
  <c r="Q148" i="92"/>
  <c r="O148" i="92"/>
  <c r="P148" i="92" s="1"/>
  <c r="H148" i="92"/>
  <c r="K148" i="92" s="1"/>
  <c r="Q147" i="92"/>
  <c r="O147" i="92"/>
  <c r="P147" i="92" s="1"/>
  <c r="H147" i="92"/>
  <c r="K147" i="92" s="1"/>
  <c r="Q146" i="92"/>
  <c r="O146" i="92"/>
  <c r="P146" i="92" s="1"/>
  <c r="H146" i="92"/>
  <c r="K146" i="92" s="1"/>
  <c r="G146" i="92"/>
  <c r="N125" i="92"/>
  <c r="J125" i="92"/>
  <c r="E125" i="92"/>
  <c r="Q124" i="92"/>
  <c r="O124" i="92"/>
  <c r="P124" i="92" s="1"/>
  <c r="Q123" i="92"/>
  <c r="O123" i="92"/>
  <c r="P123" i="92" s="1"/>
  <c r="F123" i="92"/>
  <c r="F122" i="92" s="1"/>
  <c r="Q122" i="92"/>
  <c r="O122" i="92"/>
  <c r="P122" i="92" s="1"/>
  <c r="Q121" i="92"/>
  <c r="O121" i="92"/>
  <c r="P121" i="92" s="1"/>
  <c r="Q120" i="92"/>
  <c r="P120" i="92"/>
  <c r="O120" i="92"/>
  <c r="Q119" i="92"/>
  <c r="O119" i="92"/>
  <c r="P119" i="92" s="1"/>
  <c r="Q118" i="92"/>
  <c r="P118" i="92"/>
  <c r="O118" i="92"/>
  <c r="Q117" i="92"/>
  <c r="O117" i="92"/>
  <c r="P117" i="92" s="1"/>
  <c r="H117" i="92"/>
  <c r="K117" i="92" s="1"/>
  <c r="Q116" i="92"/>
  <c r="O116" i="92"/>
  <c r="P116" i="92" s="1"/>
  <c r="H116" i="92"/>
  <c r="K116" i="92" s="1"/>
  <c r="Q115" i="92"/>
  <c r="P115" i="92"/>
  <c r="O115" i="92"/>
  <c r="H115" i="92"/>
  <c r="K115" i="92" s="1"/>
  <c r="Q114" i="92"/>
  <c r="O114" i="92"/>
  <c r="P114" i="92" s="1"/>
  <c r="H114" i="92"/>
  <c r="K114" i="92" s="1"/>
  <c r="Q113" i="92"/>
  <c r="O113" i="92"/>
  <c r="P113" i="92" s="1"/>
  <c r="H113" i="92"/>
  <c r="K113" i="92" s="1"/>
  <c r="G113" i="92"/>
  <c r="G114" i="92" s="1"/>
  <c r="G115" i="92" s="1"/>
  <c r="G116" i="92" s="1"/>
  <c r="G117" i="92" s="1"/>
  <c r="G118" i="92" s="1"/>
  <c r="G119" i="92" s="1"/>
  <c r="G120" i="92" s="1"/>
  <c r="G121" i="92" s="1"/>
  <c r="G122" i="92" s="1"/>
  <c r="G123" i="92" s="1"/>
  <c r="J92" i="92"/>
  <c r="E92" i="92"/>
  <c r="F90" i="92"/>
  <c r="F89" i="92"/>
  <c r="H84" i="92"/>
  <c r="K84" i="92" s="1"/>
  <c r="K83" i="92"/>
  <c r="H83" i="92"/>
  <c r="H82" i="92"/>
  <c r="K82" i="92" s="1"/>
  <c r="H81" i="92"/>
  <c r="K81" i="92" s="1"/>
  <c r="H80" i="92"/>
  <c r="K80" i="92" s="1"/>
  <c r="G80" i="92"/>
  <c r="G81" i="92" s="1"/>
  <c r="G147" i="92" s="1"/>
  <c r="R67" i="92"/>
  <c r="L67" i="92"/>
  <c r="R63" i="92"/>
  <c r="R69" i="92" s="1"/>
  <c r="L63" i="92"/>
  <c r="L69" i="92" s="1"/>
  <c r="N59" i="92"/>
  <c r="J59" i="92"/>
  <c r="E59" i="92"/>
  <c r="Q58" i="92"/>
  <c r="O58" i="92"/>
  <c r="P58" i="92" s="1"/>
  <c r="Q57" i="92"/>
  <c r="O57" i="92"/>
  <c r="P57" i="92" s="1"/>
  <c r="F57" i="92"/>
  <c r="Q56" i="92"/>
  <c r="O56" i="92"/>
  <c r="P56" i="92" s="1"/>
  <c r="F56" i="92"/>
  <c r="Q55" i="92"/>
  <c r="O55" i="92"/>
  <c r="P55" i="92" s="1"/>
  <c r="Q54" i="92"/>
  <c r="O54" i="92"/>
  <c r="P54" i="92" s="1"/>
  <c r="Q53" i="92"/>
  <c r="O53" i="92"/>
  <c r="P53" i="92" s="1"/>
  <c r="Q52" i="92"/>
  <c r="O52" i="92"/>
  <c r="P52" i="92" s="1"/>
  <c r="Q51" i="92"/>
  <c r="O51" i="92"/>
  <c r="P51" i="92" s="1"/>
  <c r="H51" i="92"/>
  <c r="K51" i="92" s="1"/>
  <c r="Q50" i="92"/>
  <c r="P50" i="92"/>
  <c r="O50" i="92"/>
  <c r="H50" i="92"/>
  <c r="K50" i="92" s="1"/>
  <c r="Q49" i="92"/>
  <c r="O49" i="92"/>
  <c r="P49" i="92" s="1"/>
  <c r="H49" i="92"/>
  <c r="K49" i="92" s="1"/>
  <c r="Q48" i="92"/>
  <c r="O48" i="92"/>
  <c r="P48" i="92" s="1"/>
  <c r="H48" i="92"/>
  <c r="K48" i="92" s="1"/>
  <c r="Q47" i="92"/>
  <c r="O47" i="92"/>
  <c r="P47" i="92" s="1"/>
  <c r="R47" i="92" s="1"/>
  <c r="H47" i="92"/>
  <c r="K47" i="92" s="1"/>
  <c r="L47" i="92" s="1"/>
  <c r="L48" i="92" s="1"/>
  <c r="G47" i="92"/>
  <c r="G48" i="92" s="1"/>
  <c r="G49" i="92" s="1"/>
  <c r="G50" i="92" s="1"/>
  <c r="G51" i="92" s="1"/>
  <c r="G52" i="92" s="1"/>
  <c r="G53" i="92" s="1"/>
  <c r="G54" i="92" s="1"/>
  <c r="G55" i="92" s="1"/>
  <c r="G56" i="92" s="1"/>
  <c r="G57" i="92" s="1"/>
  <c r="N26" i="92"/>
  <c r="J26" i="92"/>
  <c r="E26" i="92"/>
  <c r="Q25" i="92"/>
  <c r="O25" i="92"/>
  <c r="P25" i="92" s="1"/>
  <c r="Q24" i="92"/>
  <c r="O24" i="92"/>
  <c r="P24" i="92" s="1"/>
  <c r="F24" i="92"/>
  <c r="Q23" i="92"/>
  <c r="O23" i="92"/>
  <c r="P23" i="92" s="1"/>
  <c r="F23" i="92"/>
  <c r="Q22" i="92"/>
  <c r="O22" i="92"/>
  <c r="P22" i="92" s="1"/>
  <c r="Q21" i="92"/>
  <c r="O21" i="92"/>
  <c r="P21" i="92" s="1"/>
  <c r="Q20" i="92"/>
  <c r="P20" i="92"/>
  <c r="O20" i="92"/>
  <c r="Q19" i="92"/>
  <c r="O19" i="92"/>
  <c r="P19" i="92" s="1"/>
  <c r="Q18" i="92"/>
  <c r="P18" i="92"/>
  <c r="O18" i="92"/>
  <c r="H18" i="92"/>
  <c r="K18" i="92" s="1"/>
  <c r="Q17" i="92"/>
  <c r="P17" i="92"/>
  <c r="O17" i="92"/>
  <c r="H17" i="92"/>
  <c r="K17" i="92" s="1"/>
  <c r="Q16" i="92"/>
  <c r="P16" i="92"/>
  <c r="O16" i="92"/>
  <c r="H16" i="92"/>
  <c r="K16" i="92" s="1"/>
  <c r="Q15" i="92"/>
  <c r="O15" i="92"/>
  <c r="P15" i="92" s="1"/>
  <c r="H15" i="92"/>
  <c r="K15" i="92" s="1"/>
  <c r="G15" i="92"/>
  <c r="G16" i="92" s="1"/>
  <c r="G17" i="92" s="1"/>
  <c r="G18" i="92" s="1"/>
  <c r="G19" i="92" s="1"/>
  <c r="G20" i="92" s="1"/>
  <c r="G21" i="92" s="1"/>
  <c r="G22" i="92" s="1"/>
  <c r="G23" i="92" s="1"/>
  <c r="G24" i="92" s="1"/>
  <c r="Q14" i="92"/>
  <c r="P14" i="92"/>
  <c r="O14" i="92"/>
  <c r="H14" i="92"/>
  <c r="K14" i="92" s="1"/>
  <c r="B14" i="92"/>
  <c r="B15" i="92" s="1"/>
  <c r="B16" i="92" s="1"/>
  <c r="B17" i="92" s="1"/>
  <c r="B18" i="92" s="1"/>
  <c r="B19" i="92" s="1"/>
  <c r="B20" i="92" s="1"/>
  <c r="B21" i="92" s="1"/>
  <c r="B22" i="92" s="1"/>
  <c r="B23" i="92" s="1"/>
  <c r="B24" i="92" s="1"/>
  <c r="B25" i="92" s="1"/>
  <c r="Q26" i="96" l="1"/>
  <c r="Q19" i="95"/>
  <c r="K17" i="95"/>
  <c r="N55" i="95"/>
  <c r="Q55" i="95" s="1"/>
  <c r="N54" i="95"/>
  <c r="Q54" i="95" s="1"/>
  <c r="N53" i="95"/>
  <c r="N60" i="95"/>
  <c r="N52" i="95"/>
  <c r="Q52" i="95" s="1"/>
  <c r="N59" i="95"/>
  <c r="Q59" i="95" s="1"/>
  <c r="N51" i="95"/>
  <c r="N58" i="95"/>
  <c r="Q58" i="95" s="1"/>
  <c r="N50" i="95"/>
  <c r="N57" i="95"/>
  <c r="Q57" i="95" s="1"/>
  <c r="N49" i="95"/>
  <c r="N56" i="95"/>
  <c r="Q56" i="95" s="1"/>
  <c r="L47" i="95"/>
  <c r="R47" i="95"/>
  <c r="R63" i="95"/>
  <c r="R65" i="95" s="1"/>
  <c r="L63" i="95"/>
  <c r="L65" i="95" s="1"/>
  <c r="R96" i="95"/>
  <c r="R98" i="95" s="1"/>
  <c r="L96" i="95"/>
  <c r="L98" i="95" s="1"/>
  <c r="R30" i="95"/>
  <c r="R32" i="95" s="1"/>
  <c r="L30" i="95"/>
  <c r="L32" i="95" s="1"/>
  <c r="E152" i="93"/>
  <c r="E159" i="93" s="1"/>
  <c r="R48" i="92"/>
  <c r="O54" i="95"/>
  <c r="O170" i="95"/>
  <c r="K52" i="95"/>
  <c r="EM116" i="72"/>
  <c r="EO116" i="72" s="1"/>
  <c r="EO115" i="72"/>
  <c r="EI116" i="72"/>
  <c r="EK116" i="72" s="1"/>
  <c r="EK115" i="72"/>
  <c r="EE117" i="72"/>
  <c r="L49" i="92"/>
  <c r="L163" i="95"/>
  <c r="L164" i="95" s="1"/>
  <c r="L196" i="95"/>
  <c r="L197" i="95" s="1"/>
  <c r="L198" i="95" s="1"/>
  <c r="L199" i="95" s="1"/>
  <c r="R62" i="97"/>
  <c r="X62" i="97" s="1"/>
  <c r="AF62" i="97" s="1"/>
  <c r="L165" i="95"/>
  <c r="R55" i="97"/>
  <c r="X55" i="97" s="1"/>
  <c r="AF55" i="97" s="1"/>
  <c r="K50" i="95"/>
  <c r="Q94" i="95"/>
  <c r="M41" i="96"/>
  <c r="Q91" i="96"/>
  <c r="O144" i="96"/>
  <c r="M164" i="96"/>
  <c r="Q187" i="96"/>
  <c r="P15" i="97"/>
  <c r="P17" i="97"/>
  <c r="R17" i="97" s="1"/>
  <c r="V17" i="97" s="1"/>
  <c r="P20" i="97"/>
  <c r="P22" i="97"/>
  <c r="P27" i="97"/>
  <c r="R27" i="97" s="1"/>
  <c r="X27" i="97" s="1"/>
  <c r="AF27" i="97" s="1"/>
  <c r="P32" i="97"/>
  <c r="J45" i="97"/>
  <c r="R45" i="97" s="1"/>
  <c r="X45" i="97" s="1"/>
  <c r="AF45" i="97" s="1"/>
  <c r="P46" i="97"/>
  <c r="L47" i="97"/>
  <c r="J56" i="97"/>
  <c r="R56" i="97" s="1"/>
  <c r="X56" i="97" s="1"/>
  <c r="AF56" i="97" s="1"/>
  <c r="J60" i="97"/>
  <c r="R60" i="97" s="1"/>
  <c r="X60" i="97" s="1"/>
  <c r="AF60" i="97" s="1"/>
  <c r="P64" i="97"/>
  <c r="R64" i="97" s="1"/>
  <c r="X64" i="97" s="1"/>
  <c r="AF64" i="97" s="1"/>
  <c r="P68" i="97"/>
  <c r="R184" i="95"/>
  <c r="R217" i="95"/>
  <c r="M75" i="96"/>
  <c r="K164" i="96"/>
  <c r="K189" i="96"/>
  <c r="Q196" i="96"/>
  <c r="R14" i="97"/>
  <c r="X14" i="97" s="1"/>
  <c r="AF14" i="97" s="1"/>
  <c r="J15" i="97"/>
  <c r="J20" i="97"/>
  <c r="R21" i="97"/>
  <c r="X21" i="97" s="1"/>
  <c r="AF21" i="97" s="1"/>
  <c r="J22" i="97"/>
  <c r="P23" i="97"/>
  <c r="P24" i="97"/>
  <c r="P30" i="97"/>
  <c r="J32" i="97"/>
  <c r="J35" i="97"/>
  <c r="O47" i="97"/>
  <c r="R41" i="97"/>
  <c r="X41" i="97" s="1"/>
  <c r="J46" i="97"/>
  <c r="P52" i="97"/>
  <c r="P57" i="97"/>
  <c r="J61" i="97"/>
  <c r="J68" i="97"/>
  <c r="R68" i="97" s="1"/>
  <c r="X68" i="97" s="1"/>
  <c r="AF68" i="97" s="1"/>
  <c r="Q49" i="95"/>
  <c r="Q51" i="95"/>
  <c r="Q93" i="96"/>
  <c r="Q57" i="96"/>
  <c r="Q59" i="96" s="1"/>
  <c r="K80" i="96"/>
  <c r="Q162" i="96"/>
  <c r="J13" i="97"/>
  <c r="J16" i="97"/>
  <c r="P19" i="97"/>
  <c r="J28" i="97"/>
  <c r="J65" i="97"/>
  <c r="R65" i="97" s="1"/>
  <c r="X65" i="97" s="1"/>
  <c r="AF65" i="97" s="1"/>
  <c r="P67" i="97"/>
  <c r="G101" i="94"/>
  <c r="G86" i="94"/>
  <c r="G92" i="94" s="1"/>
  <c r="G59" i="94"/>
  <c r="G65" i="94" s="1"/>
  <c r="G11" i="94" s="1"/>
  <c r="E124" i="94"/>
  <c r="I245" i="94"/>
  <c r="H288" i="94"/>
  <c r="H294" i="94" s="1"/>
  <c r="H15" i="94" s="1"/>
  <c r="O16" i="95"/>
  <c r="O23" i="95"/>
  <c r="O27" i="95"/>
  <c r="O53" i="95"/>
  <c r="O196" i="95"/>
  <c r="E237" i="95"/>
  <c r="O89" i="95"/>
  <c r="O91" i="95"/>
  <c r="O134" i="95"/>
  <c r="O163" i="95"/>
  <c r="O203" i="95"/>
  <c r="O18" i="95"/>
  <c r="O20" i="95"/>
  <c r="P20" i="95" s="1"/>
  <c r="O130" i="95"/>
  <c r="O131" i="95"/>
  <c r="R49" i="92"/>
  <c r="R50" i="92" s="1"/>
  <c r="R51" i="92" s="1"/>
  <c r="R52" i="92" s="1"/>
  <c r="R53" i="92" s="1"/>
  <c r="R54" i="92" s="1"/>
  <c r="R55" i="92" s="1"/>
  <c r="R56" i="92" s="1"/>
  <c r="R57" i="92" s="1"/>
  <c r="R58" i="92" s="1"/>
  <c r="R70" i="92" s="1"/>
  <c r="R71" i="92" s="1"/>
  <c r="H99" i="94"/>
  <c r="F155" i="94"/>
  <c r="F161" i="94" s="1"/>
  <c r="I131" i="94"/>
  <c r="I137" i="94" s="1"/>
  <c r="I13" i="94" s="1"/>
  <c r="G155" i="94"/>
  <c r="G161" i="94" s="1"/>
  <c r="H260" i="94"/>
  <c r="H100" i="94"/>
  <c r="F131" i="94"/>
  <c r="F137" i="94" s="1"/>
  <c r="F13" i="94" s="1"/>
  <c r="E155" i="94"/>
  <c r="F218" i="94"/>
  <c r="F224" i="94" s="1"/>
  <c r="F14" i="94" s="1"/>
  <c r="I218" i="94"/>
  <c r="G131" i="94"/>
  <c r="G137" i="94" s="1"/>
  <c r="G13" i="94" s="1"/>
  <c r="E127" i="94"/>
  <c r="H106" i="93"/>
  <c r="G64" i="93"/>
  <c r="G70" i="93" s="1"/>
  <c r="G11" i="93" s="1"/>
  <c r="I173" i="93"/>
  <c r="H244" i="93"/>
  <c r="I258" i="93"/>
  <c r="I260" i="93" s="1"/>
  <c r="H64" i="93"/>
  <c r="F91" i="93"/>
  <c r="F97" i="93" s="1"/>
  <c r="H173" i="93"/>
  <c r="H174" i="93" s="1"/>
  <c r="E244" i="93"/>
  <c r="H239" i="48"/>
  <c r="G91" i="93"/>
  <c r="G97" i="93" s="1"/>
  <c r="I244" i="93"/>
  <c r="I64" i="93"/>
  <c r="G135" i="93"/>
  <c r="G141" i="93" s="1"/>
  <c r="G13" i="93" s="1"/>
  <c r="N37" i="92"/>
  <c r="J37" i="92"/>
  <c r="B26" i="92"/>
  <c r="B28" i="92" s="1"/>
  <c r="G25" i="92"/>
  <c r="H25" i="92" s="1"/>
  <c r="K25" i="92" s="1"/>
  <c r="H24" i="92"/>
  <c r="K24" i="92" s="1"/>
  <c r="H57" i="92"/>
  <c r="K57" i="92" s="1"/>
  <c r="G58" i="92"/>
  <c r="H58" i="92" s="1"/>
  <c r="K58" i="92" s="1"/>
  <c r="C209" i="96"/>
  <c r="C210" i="96" s="1"/>
  <c r="C211" i="96" s="1"/>
  <c r="C212" i="96" s="1"/>
  <c r="C214" i="96" s="1"/>
  <c r="C216" i="96" s="1"/>
  <c r="C218" i="96" s="1"/>
  <c r="C227" i="96" s="1"/>
  <c r="C228" i="96" s="1"/>
  <c r="C230" i="96" s="1"/>
  <c r="C241" i="96" s="1"/>
  <c r="C242" i="96" s="1"/>
  <c r="C244" i="96" s="1"/>
  <c r="C173" i="96"/>
  <c r="C175" i="96" s="1"/>
  <c r="C176" i="96" s="1"/>
  <c r="C177" i="96" s="1"/>
  <c r="C178" i="96" s="1"/>
  <c r="C180" i="96" s="1"/>
  <c r="C182" i="96" s="1"/>
  <c r="C184" i="96" s="1"/>
  <c r="C185" i="96" s="1"/>
  <c r="C186" i="96" s="1"/>
  <c r="C187" i="96" s="1"/>
  <c r="C189" i="96" s="1"/>
  <c r="C191" i="96" s="1"/>
  <c r="C193" i="96" s="1"/>
  <c r="C194" i="96" s="1"/>
  <c r="C195" i="96" s="1"/>
  <c r="C196" i="96" s="1"/>
  <c r="C198" i="96" s="1"/>
  <c r="C200" i="96" s="1"/>
  <c r="L14" i="92"/>
  <c r="L15" i="92" s="1"/>
  <c r="L16" i="92" s="1"/>
  <c r="L17" i="92" s="1"/>
  <c r="L18" i="92" s="1"/>
  <c r="L50" i="92"/>
  <c r="L51" i="92" s="1"/>
  <c r="G124" i="92"/>
  <c r="H124" i="92" s="1"/>
  <c r="K124" i="92" s="1"/>
  <c r="H123" i="92"/>
  <c r="K123" i="92" s="1"/>
  <c r="L147" i="92"/>
  <c r="L148" i="92" s="1"/>
  <c r="L149" i="92" s="1"/>
  <c r="L150" i="92" s="1"/>
  <c r="F15" i="93"/>
  <c r="F170" i="94"/>
  <c r="J39" i="95"/>
  <c r="N39" i="95"/>
  <c r="B28" i="95"/>
  <c r="B30" i="95" s="1"/>
  <c r="D28" i="95"/>
  <c r="D26" i="92"/>
  <c r="L113" i="92"/>
  <c r="G140" i="95"/>
  <c r="H140" i="95" s="1"/>
  <c r="K140" i="95" s="1"/>
  <c r="H139" i="95"/>
  <c r="K139" i="95" s="1"/>
  <c r="H23" i="92"/>
  <c r="K23" i="92" s="1"/>
  <c r="G58" i="95"/>
  <c r="H57" i="95"/>
  <c r="H54" i="95"/>
  <c r="K54" i="95" s="1"/>
  <c r="H259" i="94"/>
  <c r="H218" i="94"/>
  <c r="Q24" i="95"/>
  <c r="H25" i="95"/>
  <c r="K25" i="95" s="1"/>
  <c r="F24" i="95"/>
  <c r="R146" i="92"/>
  <c r="R147" i="92" s="1"/>
  <c r="R148" i="92" s="1"/>
  <c r="R149" i="92" s="1"/>
  <c r="R150" i="92" s="1"/>
  <c r="R151" i="92" s="1"/>
  <c r="R152" i="92" s="1"/>
  <c r="R153" i="92" s="1"/>
  <c r="R154" i="92" s="1"/>
  <c r="R155" i="92" s="1"/>
  <c r="R156" i="92" s="1"/>
  <c r="R157" i="92" s="1"/>
  <c r="R169" i="92" s="1"/>
  <c r="R170" i="92" s="1"/>
  <c r="H135" i="93"/>
  <c r="G217" i="93"/>
  <c r="G223" i="93" s="1"/>
  <c r="G14" i="93" s="1"/>
  <c r="G259" i="93"/>
  <c r="G260" i="93" s="1"/>
  <c r="G244" i="93"/>
  <c r="G250" i="93" s="1"/>
  <c r="I86" i="94"/>
  <c r="I92" i="94" s="1"/>
  <c r="I99" i="94"/>
  <c r="I101" i="94" s="1"/>
  <c r="H155" i="94"/>
  <c r="H161" i="94" s="1"/>
  <c r="H26" i="95"/>
  <c r="K26" i="95" s="1"/>
  <c r="H55" i="95"/>
  <c r="K55" i="95" s="1"/>
  <c r="O82" i="96"/>
  <c r="Q82" i="96" s="1"/>
  <c r="H56" i="92"/>
  <c r="K56" i="92" s="1"/>
  <c r="F55" i="92"/>
  <c r="E91" i="93"/>
  <c r="I105" i="93"/>
  <c r="I106" i="93" s="1"/>
  <c r="I91" i="93"/>
  <c r="G173" i="93"/>
  <c r="G159" i="93"/>
  <c r="G165" i="93" s="1"/>
  <c r="F159" i="93"/>
  <c r="F165" i="93" s="1"/>
  <c r="H258" i="93"/>
  <c r="H217" i="93"/>
  <c r="F100" i="94"/>
  <c r="F86" i="94"/>
  <c r="F92" i="94" s="1"/>
  <c r="E128" i="94"/>
  <c r="I169" i="94"/>
  <c r="I170" i="94" s="1"/>
  <c r="E211" i="94"/>
  <c r="E218" i="94" s="1"/>
  <c r="F261" i="94"/>
  <c r="K49" i="95"/>
  <c r="H56" i="95"/>
  <c r="K56" i="95" s="1"/>
  <c r="K57" i="95"/>
  <c r="H204" i="95"/>
  <c r="K204" i="95" s="1"/>
  <c r="F203" i="95"/>
  <c r="O186" i="96"/>
  <c r="Q186" i="96" s="1"/>
  <c r="O153" i="96"/>
  <c r="Q150" i="96"/>
  <c r="Q153" i="96" s="1"/>
  <c r="L114" i="92"/>
  <c r="L115" i="92" s="1"/>
  <c r="L116" i="92" s="1"/>
  <c r="L117" i="92" s="1"/>
  <c r="F155" i="92"/>
  <c r="F104" i="93"/>
  <c r="F64" i="93"/>
  <c r="F70" i="93" s="1"/>
  <c r="H285" i="93"/>
  <c r="E285" i="93" s="1"/>
  <c r="E283" i="93"/>
  <c r="H131" i="94"/>
  <c r="H137" i="94" s="1"/>
  <c r="H13" i="94" s="1"/>
  <c r="H168" i="94"/>
  <c r="H170" i="94" s="1"/>
  <c r="Q60" i="95"/>
  <c r="L166" i="95"/>
  <c r="H171" i="95"/>
  <c r="K171" i="95" s="1"/>
  <c r="F170" i="95"/>
  <c r="M51" i="97"/>
  <c r="P51" i="97" s="1"/>
  <c r="R51" i="97" s="1"/>
  <c r="X51" i="97" s="1"/>
  <c r="AF51" i="97" s="1"/>
  <c r="L71" i="97"/>
  <c r="F88" i="92"/>
  <c r="R113" i="92"/>
  <c r="R114" i="92" s="1"/>
  <c r="R115" i="92" s="1"/>
  <c r="R116" i="92" s="1"/>
  <c r="R117" i="92" s="1"/>
  <c r="R118" i="92" s="1"/>
  <c r="R119" i="92" s="1"/>
  <c r="R120" i="92" s="1"/>
  <c r="R121" i="92" s="1"/>
  <c r="R122" i="92" s="1"/>
  <c r="R123" i="92" s="1"/>
  <c r="R124" i="92" s="1"/>
  <c r="R136" i="92" s="1"/>
  <c r="L146" i="92"/>
  <c r="H91" i="93"/>
  <c r="F244" i="93"/>
  <c r="F250" i="93" s="1"/>
  <c r="E59" i="94"/>
  <c r="Q27" i="95"/>
  <c r="K27" i="95"/>
  <c r="P27" i="95" s="1"/>
  <c r="L82" i="95"/>
  <c r="L83" i="95" s="1"/>
  <c r="L84" i="95" s="1"/>
  <c r="L85" i="95" s="1"/>
  <c r="L86" i="95" s="1"/>
  <c r="H91" i="95"/>
  <c r="K91" i="95" s="1"/>
  <c r="F90" i="95"/>
  <c r="H92" i="95"/>
  <c r="K92" i="95" s="1"/>
  <c r="L130" i="95"/>
  <c r="L131" i="95" s="1"/>
  <c r="L132" i="95" s="1"/>
  <c r="L133" i="95" s="1"/>
  <c r="Q207" i="95"/>
  <c r="H205" i="95"/>
  <c r="K205" i="95" s="1"/>
  <c r="G206" i="95"/>
  <c r="H206" i="95" s="1"/>
  <c r="K206" i="95" s="1"/>
  <c r="I36" i="97"/>
  <c r="J12" i="97"/>
  <c r="AF41" i="97"/>
  <c r="R14" i="92"/>
  <c r="R15" i="92" s="1"/>
  <c r="R16" i="92" s="1"/>
  <c r="R17" i="92" s="1"/>
  <c r="R18" i="92" s="1"/>
  <c r="R19" i="92" s="1"/>
  <c r="R20" i="92" s="1"/>
  <c r="R21" i="92" s="1"/>
  <c r="R22" i="92" s="1"/>
  <c r="R23" i="92" s="1"/>
  <c r="R24" i="92" s="1"/>
  <c r="R25" i="92" s="1"/>
  <c r="R37" i="92" s="1"/>
  <c r="F22" i="92"/>
  <c r="G82" i="92"/>
  <c r="H122" i="92"/>
  <c r="K122" i="92" s="1"/>
  <c r="F121" i="92"/>
  <c r="G106" i="93"/>
  <c r="I172" i="93"/>
  <c r="G168" i="94"/>
  <c r="G170" i="94" s="1"/>
  <c r="G218" i="94"/>
  <c r="G224" i="94" s="1"/>
  <c r="G14" i="94" s="1"/>
  <c r="G260" i="94"/>
  <c r="G245" i="94"/>
  <c r="G251" i="94" s="1"/>
  <c r="F245" i="94"/>
  <c r="F251" i="94" s="1"/>
  <c r="I261" i="94"/>
  <c r="J28" i="95"/>
  <c r="Q16" i="95"/>
  <c r="K16" i="95"/>
  <c r="Q18" i="95"/>
  <c r="K18" i="95"/>
  <c r="Q20" i="95"/>
  <c r="K20" i="95"/>
  <c r="Q174" i="95"/>
  <c r="H172" i="95"/>
  <c r="K172" i="95" s="1"/>
  <c r="G173" i="95"/>
  <c r="H173" i="95" s="1"/>
  <c r="K173" i="95" s="1"/>
  <c r="O198" i="95"/>
  <c r="P198" i="95" s="1"/>
  <c r="O165" i="95"/>
  <c r="P165" i="95" s="1"/>
  <c r="O200" i="95"/>
  <c r="P200" i="95" s="1"/>
  <c r="O199" i="95"/>
  <c r="P199" i="95" s="1"/>
  <c r="O167" i="95"/>
  <c r="P167" i="95" s="1"/>
  <c r="O166" i="95"/>
  <c r="P166" i="95" s="1"/>
  <c r="O139" i="95"/>
  <c r="P139" i="95" s="1"/>
  <c r="O137" i="95"/>
  <c r="P137" i="95" s="1"/>
  <c r="O135" i="95"/>
  <c r="O133" i="95"/>
  <c r="O129" i="95"/>
  <c r="P129" i="95" s="1"/>
  <c r="O92" i="95"/>
  <c r="O90" i="95"/>
  <c r="P90" i="95" s="1"/>
  <c r="O88" i="95"/>
  <c r="P88" i="95" s="1"/>
  <c r="O86" i="95"/>
  <c r="P86" i="95" s="1"/>
  <c r="O82" i="95"/>
  <c r="O59" i="95"/>
  <c r="O55" i="95"/>
  <c r="O52" i="95"/>
  <c r="P52" i="95" s="1"/>
  <c r="P203" i="95"/>
  <c r="O202" i="95"/>
  <c r="P202" i="95" s="1"/>
  <c r="O201" i="95"/>
  <c r="P201" i="95" s="1"/>
  <c r="O197" i="95"/>
  <c r="P197" i="95" s="1"/>
  <c r="P196" i="95"/>
  <c r="O195" i="95"/>
  <c r="P195" i="95" s="1"/>
  <c r="P170" i="95"/>
  <c r="O169" i="95"/>
  <c r="P169" i="95" s="1"/>
  <c r="O168" i="95"/>
  <c r="P168" i="95" s="1"/>
  <c r="O164" i="95"/>
  <c r="P164" i="95" s="1"/>
  <c r="P163" i="95"/>
  <c r="O162" i="95"/>
  <c r="P162" i="95" s="1"/>
  <c r="P134" i="95"/>
  <c r="O132" i="95"/>
  <c r="P132" i="95" s="1"/>
  <c r="P131" i="95"/>
  <c r="P91" i="95"/>
  <c r="P89" i="95"/>
  <c r="O85" i="95"/>
  <c r="P85" i="95" s="1"/>
  <c r="O206" i="95"/>
  <c r="P206" i="95" s="1"/>
  <c r="O205" i="95"/>
  <c r="P205" i="95" s="1"/>
  <c r="O173" i="95"/>
  <c r="P173" i="95" s="1"/>
  <c r="O172" i="95"/>
  <c r="P172" i="95" s="1"/>
  <c r="O136" i="95"/>
  <c r="P136" i="95" s="1"/>
  <c r="P133" i="95"/>
  <c r="O93" i="95"/>
  <c r="P93" i="95" s="1"/>
  <c r="P92" i="95"/>
  <c r="O83" i="95"/>
  <c r="P83" i="95" s="1"/>
  <c r="P82" i="95"/>
  <c r="O51" i="95"/>
  <c r="P51" i="95" s="1"/>
  <c r="O49" i="95"/>
  <c r="P49" i="95" s="1"/>
  <c r="O25" i="95"/>
  <c r="P25" i="95" s="1"/>
  <c r="O21" i="95"/>
  <c r="O204" i="95"/>
  <c r="P204" i="95" s="1"/>
  <c r="O171" i="95"/>
  <c r="P171" i="95" s="1"/>
  <c r="P140" i="95"/>
  <c r="O138" i="95"/>
  <c r="P138" i="95" s="1"/>
  <c r="P135" i="95"/>
  <c r="P130" i="95"/>
  <c r="R130" i="95" s="1"/>
  <c r="O87" i="95"/>
  <c r="P87" i="95" s="1"/>
  <c r="O84" i="95"/>
  <c r="P84" i="95" s="1"/>
  <c r="O60" i="95"/>
  <c r="O58" i="95"/>
  <c r="O57" i="95"/>
  <c r="P57" i="95" s="1"/>
  <c r="O56" i="95"/>
  <c r="P56" i="95" s="1"/>
  <c r="O26" i="95"/>
  <c r="P26" i="95" s="1"/>
  <c r="O22" i="95"/>
  <c r="O19" i="95"/>
  <c r="P19" i="95" s="1"/>
  <c r="O17" i="95"/>
  <c r="P17" i="95" s="1"/>
  <c r="O93" i="96"/>
  <c r="O164" i="96"/>
  <c r="Q53" i="95"/>
  <c r="K53" i="95"/>
  <c r="Q141" i="95"/>
  <c r="M109" i="96"/>
  <c r="M113" i="96" s="1"/>
  <c r="M123" i="96" s="1"/>
  <c r="O210" i="96"/>
  <c r="Q210" i="96" s="1"/>
  <c r="Q140" i="96"/>
  <c r="X17" i="97"/>
  <c r="AF17" i="97" s="1"/>
  <c r="H138" i="95"/>
  <c r="K138" i="95" s="1"/>
  <c r="F137" i="95"/>
  <c r="K72" i="96"/>
  <c r="O18" i="96"/>
  <c r="O211" i="96"/>
  <c r="Q211" i="96" s="1"/>
  <c r="O177" i="96"/>
  <c r="Q141" i="96"/>
  <c r="O176" i="96"/>
  <c r="G73" i="97"/>
  <c r="R15" i="97"/>
  <c r="X15" i="97" s="1"/>
  <c r="AF15" i="97" s="1"/>
  <c r="R25" i="97"/>
  <c r="X25" i="97" s="1"/>
  <c r="AF25" i="97" s="1"/>
  <c r="V34" i="97"/>
  <c r="X34" i="97" s="1"/>
  <c r="AF34" i="97" s="1"/>
  <c r="J53" i="97"/>
  <c r="Q80" i="96"/>
  <c r="K88" i="96"/>
  <c r="K180" i="96"/>
  <c r="K200" i="96" s="1"/>
  <c r="Q177" i="96"/>
  <c r="O17" i="96"/>
  <c r="Q39" i="96"/>
  <c r="M84" i="96"/>
  <c r="M93" i="96"/>
  <c r="K105" i="96"/>
  <c r="M180" i="96"/>
  <c r="Q176" i="96"/>
  <c r="Q184" i="96"/>
  <c r="Q189" i="96" s="1"/>
  <c r="M189" i="96"/>
  <c r="O36" i="97"/>
  <c r="L36" i="97"/>
  <c r="L73" i="97" s="1"/>
  <c r="M13" i="97"/>
  <c r="P13" i="97" s="1"/>
  <c r="R13" i="97" s="1"/>
  <c r="X13" i="97" s="1"/>
  <c r="AF13" i="97" s="1"/>
  <c r="R16" i="97"/>
  <c r="X16" i="97" s="1"/>
  <c r="AF16" i="97" s="1"/>
  <c r="R29" i="97"/>
  <c r="X29" i="97" s="1"/>
  <c r="AF29" i="97" s="1"/>
  <c r="M47" i="97"/>
  <c r="J42" i="97"/>
  <c r="R42" i="97" s="1"/>
  <c r="X42" i="97" s="1"/>
  <c r="AF42" i="97" s="1"/>
  <c r="G47" i="97"/>
  <c r="K82" i="96"/>
  <c r="M198" i="96"/>
  <c r="K214" i="96"/>
  <c r="K218" i="96" s="1"/>
  <c r="K228" i="96" s="1"/>
  <c r="K230" i="96" s="1"/>
  <c r="O212" i="96"/>
  <c r="Q212" i="96" s="1"/>
  <c r="J18" i="97"/>
  <c r="R18" i="97" s="1"/>
  <c r="R28" i="97"/>
  <c r="X28" i="97" s="1"/>
  <c r="AF28" i="97" s="1"/>
  <c r="R32" i="97"/>
  <c r="X32" i="97" s="1"/>
  <c r="AF32" i="97" s="1"/>
  <c r="P50" i="97"/>
  <c r="P58" i="97"/>
  <c r="R58" i="97" s="1"/>
  <c r="X58" i="97" s="1"/>
  <c r="AF58" i="97" s="1"/>
  <c r="P66" i="97"/>
  <c r="R66" i="97" s="1"/>
  <c r="X66" i="97" s="1"/>
  <c r="AF66" i="97" s="1"/>
  <c r="O25" i="96"/>
  <c r="O198" i="96"/>
  <c r="Q195" i="96"/>
  <c r="Q198" i="96" s="1"/>
  <c r="Q209" i="96"/>
  <c r="R19" i="97"/>
  <c r="X19" i="97" s="1"/>
  <c r="AF19" i="97" s="1"/>
  <c r="R23" i="97"/>
  <c r="X23" i="97" s="1"/>
  <c r="AF23" i="97" s="1"/>
  <c r="J24" i="97"/>
  <c r="R24" i="97" s="1"/>
  <c r="X24" i="97" s="1"/>
  <c r="AF24" i="97" s="1"/>
  <c r="P40" i="97"/>
  <c r="O71" i="97"/>
  <c r="J52" i="97"/>
  <c r="R52" i="97" s="1"/>
  <c r="X52" i="97" s="1"/>
  <c r="AF52" i="97" s="1"/>
  <c r="G71" i="97"/>
  <c r="R59" i="97"/>
  <c r="X59" i="97" s="1"/>
  <c r="AF59" i="97" s="1"/>
  <c r="R67" i="97"/>
  <c r="X67" i="97" s="1"/>
  <c r="AF67" i="97" s="1"/>
  <c r="R35" i="97"/>
  <c r="I47" i="97"/>
  <c r="R46" i="97"/>
  <c r="X46" i="97" s="1"/>
  <c r="AF46" i="97" s="1"/>
  <c r="I71" i="97"/>
  <c r="R57" i="97"/>
  <c r="X57" i="97" s="1"/>
  <c r="AF57" i="97" s="1"/>
  <c r="J26" i="97"/>
  <c r="R26" i="97" s="1"/>
  <c r="X26" i="97" s="1"/>
  <c r="AF26" i="97" s="1"/>
  <c r="J30" i="97"/>
  <c r="R30" i="97" s="1"/>
  <c r="X30" i="97" s="1"/>
  <c r="AF30" i="97" s="1"/>
  <c r="J40" i="97"/>
  <c r="P42" i="97"/>
  <c r="J50" i="97"/>
  <c r="P53" i="97"/>
  <c r="P61" i="97"/>
  <c r="R61" i="97" s="1"/>
  <c r="X61" i="97" s="1"/>
  <c r="AF61" i="97" s="1"/>
  <c r="P69" i="97"/>
  <c r="R69" i="97" s="1"/>
  <c r="X69" i="97" s="1"/>
  <c r="AF69" i="97" s="1"/>
  <c r="P16" i="95" l="1"/>
  <c r="P18" i="95"/>
  <c r="N61" i="95"/>
  <c r="O50" i="95"/>
  <c r="P50" i="95" s="1"/>
  <c r="Q50" i="95"/>
  <c r="Q61" i="95" s="1"/>
  <c r="R78" i="92"/>
  <c r="L78" i="92"/>
  <c r="L80" i="92" s="1"/>
  <c r="L81" i="92" s="1"/>
  <c r="L82" i="92" s="1"/>
  <c r="L83" i="92" s="1"/>
  <c r="L84" i="92" s="1"/>
  <c r="E122" i="93"/>
  <c r="F128" i="93"/>
  <c r="R49" i="95"/>
  <c r="P53" i="95"/>
  <c r="P54" i="95"/>
  <c r="P55" i="95"/>
  <c r="EI117" i="72"/>
  <c r="EM117" i="72"/>
  <c r="EE118" i="72"/>
  <c r="EG118" i="72" s="1"/>
  <c r="EG117" i="72"/>
  <c r="Q180" i="96"/>
  <c r="M95" i="96"/>
  <c r="Q214" i="96"/>
  <c r="Q218" i="96" s="1"/>
  <c r="Q228" i="96" s="1"/>
  <c r="Q230" i="96" s="1"/>
  <c r="M71" i="97"/>
  <c r="R20" i="97"/>
  <c r="X20" i="97" s="1"/>
  <c r="AF20" i="97" s="1"/>
  <c r="R22" i="97"/>
  <c r="X22" i="97" s="1"/>
  <c r="AF22" i="97" s="1"/>
  <c r="E100" i="94"/>
  <c r="H101" i="94"/>
  <c r="G17" i="94"/>
  <c r="E260" i="94"/>
  <c r="P141" i="95"/>
  <c r="O28" i="95"/>
  <c r="E169" i="94"/>
  <c r="E131" i="94"/>
  <c r="I174" i="93"/>
  <c r="G17" i="93"/>
  <c r="E173" i="93"/>
  <c r="E105" i="93"/>
  <c r="E64" i="93"/>
  <c r="E259" i="93"/>
  <c r="G174" i="93"/>
  <c r="Q200" i="96"/>
  <c r="P36" i="97"/>
  <c r="Q18" i="96"/>
  <c r="O72" i="96"/>
  <c r="Q72" i="96" s="1"/>
  <c r="O207" i="95"/>
  <c r="O214" i="96"/>
  <c r="E13" i="94"/>
  <c r="B29" i="92"/>
  <c r="B30" i="92" s="1"/>
  <c r="J71" i="97"/>
  <c r="R50" i="97"/>
  <c r="O174" i="95"/>
  <c r="O141" i="95"/>
  <c r="F11" i="93"/>
  <c r="H251" i="94"/>
  <c r="M36" i="97"/>
  <c r="M73" i="97" s="1"/>
  <c r="V18" i="97"/>
  <c r="X18" i="97"/>
  <c r="AF18" i="97" s="1"/>
  <c r="H137" i="95"/>
  <c r="K137" i="95" s="1"/>
  <c r="F136" i="95"/>
  <c r="Q144" i="96"/>
  <c r="Q164" i="96" s="1"/>
  <c r="O61" i="95"/>
  <c r="H121" i="92"/>
  <c r="K121" i="92" s="1"/>
  <c r="F120" i="92"/>
  <c r="X78" i="97"/>
  <c r="F89" i="95"/>
  <c r="H90" i="95"/>
  <c r="K90" i="95" s="1"/>
  <c r="F59" i="94"/>
  <c r="F65" i="94" s="1"/>
  <c r="F99" i="94"/>
  <c r="F87" i="92"/>
  <c r="E104" i="93"/>
  <c r="F106" i="93"/>
  <c r="H203" i="95"/>
  <c r="K203" i="95" s="1"/>
  <c r="F202" i="95"/>
  <c r="L49" i="95"/>
  <c r="L50" i="95" s="1"/>
  <c r="L51" i="95" s="1"/>
  <c r="L52" i="95" s="1"/>
  <c r="L53" i="95" s="1"/>
  <c r="L54" i="95" s="1"/>
  <c r="L55" i="95" s="1"/>
  <c r="L56" i="95" s="1"/>
  <c r="L57" i="95" s="1"/>
  <c r="H55" i="92"/>
  <c r="K55" i="92" s="1"/>
  <c r="F54" i="92"/>
  <c r="H224" i="94"/>
  <c r="M242" i="96"/>
  <c r="M244" i="96" s="1"/>
  <c r="M125" i="96"/>
  <c r="P94" i="95"/>
  <c r="R82" i="95"/>
  <c r="R83" i="95" s="1"/>
  <c r="R84" i="95" s="1"/>
  <c r="R85" i="95" s="1"/>
  <c r="R86" i="95" s="1"/>
  <c r="R87" i="95" s="1"/>
  <c r="R88" i="95" s="1"/>
  <c r="R89" i="95" s="1"/>
  <c r="R90" i="95" s="1"/>
  <c r="R91" i="95" s="1"/>
  <c r="R92" i="95" s="1"/>
  <c r="R93" i="95" s="1"/>
  <c r="R105" i="95" s="1"/>
  <c r="R16" i="95"/>
  <c r="R17" i="95" s="1"/>
  <c r="R18" i="95" s="1"/>
  <c r="R19" i="95" s="1"/>
  <c r="R20" i="95" s="1"/>
  <c r="Q28" i="95"/>
  <c r="H22" i="92"/>
  <c r="K22" i="92" s="1"/>
  <c r="F21" i="92"/>
  <c r="J36" i="97"/>
  <c r="R12" i="97"/>
  <c r="F23" i="95"/>
  <c r="H24" i="95"/>
  <c r="K24" i="95" s="1"/>
  <c r="P24" i="95" s="1"/>
  <c r="G59" i="95"/>
  <c r="H58" i="95"/>
  <c r="K58" i="95" s="1"/>
  <c r="P58" i="95" s="1"/>
  <c r="B31" i="95"/>
  <c r="B32" i="95" s="1"/>
  <c r="R131" i="95"/>
  <c r="R132" i="95" s="1"/>
  <c r="R133" i="95" s="1"/>
  <c r="R134" i="95" s="1"/>
  <c r="R135" i="95" s="1"/>
  <c r="R136" i="95" s="1"/>
  <c r="R137" i="95" s="1"/>
  <c r="R138" i="95" s="1"/>
  <c r="R139" i="95" s="1"/>
  <c r="R140" i="95" s="1"/>
  <c r="R152" i="95" s="1"/>
  <c r="R153" i="95" s="1"/>
  <c r="N226" i="95" s="1"/>
  <c r="G83" i="92"/>
  <c r="G148" i="92"/>
  <c r="I73" i="97"/>
  <c r="I161" i="94"/>
  <c r="E161" i="94" s="1"/>
  <c r="E137" i="94"/>
  <c r="P47" i="97"/>
  <c r="O73" i="97"/>
  <c r="O105" i="96"/>
  <c r="Q105" i="96" s="1"/>
  <c r="O71" i="96"/>
  <c r="Q71" i="96" s="1"/>
  <c r="Q17" i="96"/>
  <c r="O180" i="96"/>
  <c r="J47" i="97"/>
  <c r="R40" i="97"/>
  <c r="V35" i="97"/>
  <c r="X35" i="97" s="1"/>
  <c r="AF35" i="97" s="1"/>
  <c r="O79" i="96"/>
  <c r="Q25" i="96"/>
  <c r="P71" i="97"/>
  <c r="M200" i="96"/>
  <c r="R53" i="97"/>
  <c r="X53" i="97" s="1"/>
  <c r="AF53" i="97" s="1"/>
  <c r="O189" i="96"/>
  <c r="O94" i="95"/>
  <c r="R162" i="95"/>
  <c r="R163" i="95" s="1"/>
  <c r="R164" i="95" s="1"/>
  <c r="R165" i="95" s="1"/>
  <c r="R166" i="95" s="1"/>
  <c r="R167" i="95" s="1"/>
  <c r="R168" i="95" s="1"/>
  <c r="R169" i="95" s="1"/>
  <c r="R170" i="95" s="1"/>
  <c r="R171" i="95" s="1"/>
  <c r="R172" i="95" s="1"/>
  <c r="R173" i="95" s="1"/>
  <c r="R185" i="95" s="1"/>
  <c r="R186" i="95" s="1"/>
  <c r="N227" i="95" s="1"/>
  <c r="P174" i="95"/>
  <c r="R195" i="95"/>
  <c r="R196" i="95" s="1"/>
  <c r="R197" i="95" s="1"/>
  <c r="R198" i="95" s="1"/>
  <c r="R199" i="95" s="1"/>
  <c r="R200" i="95" s="1"/>
  <c r="R201" i="95" s="1"/>
  <c r="R202" i="95" s="1"/>
  <c r="R203" i="95" s="1"/>
  <c r="R204" i="95" s="1"/>
  <c r="R205" i="95" s="1"/>
  <c r="R206" i="95" s="1"/>
  <c r="R218" i="95" s="1"/>
  <c r="R219" i="95" s="1"/>
  <c r="N228" i="95" s="1"/>
  <c r="P207" i="95"/>
  <c r="L16" i="95"/>
  <c r="L17" i="95" s="1"/>
  <c r="L18" i="95" s="1"/>
  <c r="L19" i="95" s="1"/>
  <c r="L20" i="95" s="1"/>
  <c r="AF78" i="97"/>
  <c r="K27" i="96"/>
  <c r="H170" i="95"/>
  <c r="K170" i="95" s="1"/>
  <c r="F169" i="95"/>
  <c r="E287" i="93"/>
  <c r="F154" i="92"/>
  <c r="E92" i="94"/>
  <c r="H260" i="93"/>
  <c r="E259" i="94"/>
  <c r="H261" i="94"/>
  <c r="G261" i="94"/>
  <c r="E168" i="94"/>
  <c r="H287" i="93"/>
  <c r="R50" i="95" l="1"/>
  <c r="R51" i="95" s="1"/>
  <c r="R52" i="95" s="1"/>
  <c r="R53" i="95" s="1"/>
  <c r="R54" i="95" s="1"/>
  <c r="R55" i="95" s="1"/>
  <c r="R56" i="95" s="1"/>
  <c r="R57" i="95" s="1"/>
  <c r="R58" i="95" s="1"/>
  <c r="E128" i="93"/>
  <c r="E135" i="93" s="1"/>
  <c r="R94" i="92"/>
  <c r="R96" i="92" s="1"/>
  <c r="L94" i="92"/>
  <c r="L96" i="92" s="1"/>
  <c r="F172" i="93"/>
  <c r="F135" i="93"/>
  <c r="F141" i="93" s="1"/>
  <c r="F13" i="93" s="1"/>
  <c r="E106" i="93"/>
  <c r="EM118" i="72"/>
  <c r="EO118" i="72" s="1"/>
  <c r="EO117" i="72"/>
  <c r="EI118" i="72"/>
  <c r="EK118" i="72" s="1"/>
  <c r="EK117" i="72"/>
  <c r="EE119" i="72"/>
  <c r="N32" i="95"/>
  <c r="O218" i="96"/>
  <c r="O228" i="96" s="1"/>
  <c r="O230" i="96" s="1"/>
  <c r="L256" i="65"/>
  <c r="J32" i="95"/>
  <c r="J73" i="97"/>
  <c r="E170" i="94"/>
  <c r="E261" i="94"/>
  <c r="H169" i="95"/>
  <c r="K169" i="95" s="1"/>
  <c r="F168" i="95"/>
  <c r="K81" i="96"/>
  <c r="K84" i="96" s="1"/>
  <c r="K30" i="96"/>
  <c r="H23" i="95"/>
  <c r="K23" i="95" s="1"/>
  <c r="P23" i="95" s="1"/>
  <c r="F22" i="95"/>
  <c r="E99" i="94"/>
  <c r="E101" i="94" s="1"/>
  <c r="F101" i="94"/>
  <c r="H89" i="95"/>
  <c r="K89" i="95" s="1"/>
  <c r="F88" i="95"/>
  <c r="B32" i="92"/>
  <c r="F153" i="92"/>
  <c r="X40" i="97"/>
  <c r="R47" i="97"/>
  <c r="G84" i="92"/>
  <c r="G149" i="92"/>
  <c r="L58" i="95"/>
  <c r="H21" i="92"/>
  <c r="K21" i="92" s="1"/>
  <c r="F20" i="92"/>
  <c r="H14" i="94"/>
  <c r="X50" i="97"/>
  <c r="R71" i="97"/>
  <c r="J30" i="92"/>
  <c r="Q79" i="96"/>
  <c r="G60" i="95"/>
  <c r="H60" i="95" s="1"/>
  <c r="K60" i="95" s="1"/>
  <c r="P60" i="95" s="1"/>
  <c r="H59" i="95"/>
  <c r="K59" i="95" s="1"/>
  <c r="P59" i="95" s="1"/>
  <c r="H54" i="92"/>
  <c r="K54" i="92" s="1"/>
  <c r="F53" i="92"/>
  <c r="H202" i="95"/>
  <c r="K202" i="95" s="1"/>
  <c r="F201" i="95"/>
  <c r="F86" i="92"/>
  <c r="H120" i="92"/>
  <c r="K120" i="92" s="1"/>
  <c r="F119" i="92"/>
  <c r="H136" i="95"/>
  <c r="K136" i="95" s="1"/>
  <c r="F135" i="95"/>
  <c r="V36" i="97"/>
  <c r="V73" i="97" s="1"/>
  <c r="E65" i="94"/>
  <c r="F11" i="94"/>
  <c r="O200" i="96"/>
  <c r="I224" i="94"/>
  <c r="I14" i="94" s="1"/>
  <c r="N230" i="95"/>
  <c r="B34" i="95"/>
  <c r="X12" i="97"/>
  <c r="R36" i="97"/>
  <c r="R73" i="97" s="1"/>
  <c r="N30" i="92"/>
  <c r="P73" i="97"/>
  <c r="P61" i="95" l="1"/>
  <c r="F174" i="93"/>
  <c r="E172" i="93"/>
  <c r="E174" i="93" s="1"/>
  <c r="J175" i="93" s="1"/>
  <c r="K61" i="95"/>
  <c r="R59" i="95"/>
  <c r="R60" i="95" s="1"/>
  <c r="R72" i="95" s="1"/>
  <c r="EI119" i="72"/>
  <c r="EM119" i="72"/>
  <c r="EE120" i="72"/>
  <c r="EG120" i="72" s="1"/>
  <c r="EG119" i="72"/>
  <c r="B35" i="95"/>
  <c r="B36" i="95" s="1"/>
  <c r="J36" i="95"/>
  <c r="F200" i="95"/>
  <c r="H200" i="95" s="1"/>
  <c r="K200" i="95" s="1"/>
  <c r="H201" i="95"/>
  <c r="K201" i="95" s="1"/>
  <c r="F152" i="92"/>
  <c r="F87" i="95"/>
  <c r="H87" i="95" s="1"/>
  <c r="K87" i="95" s="1"/>
  <c r="H88" i="95"/>
  <c r="K88" i="95" s="1"/>
  <c r="L59" i="95"/>
  <c r="L60" i="95" s="1"/>
  <c r="L72" i="95" s="1"/>
  <c r="F17" i="94"/>
  <c r="E11" i="94"/>
  <c r="R28" i="92" s="1"/>
  <c r="F134" i="95"/>
  <c r="H134" i="95" s="1"/>
  <c r="K134" i="95" s="1"/>
  <c r="H135" i="95"/>
  <c r="K135" i="95" s="1"/>
  <c r="F85" i="92"/>
  <c r="H53" i="92"/>
  <c r="K53" i="92" s="1"/>
  <c r="F52" i="92"/>
  <c r="H52" i="92" s="1"/>
  <c r="K52" i="92" s="1"/>
  <c r="H17" i="94"/>
  <c r="E14" i="94"/>
  <c r="H119" i="92"/>
  <c r="K119" i="92" s="1"/>
  <c r="F118" i="92"/>
  <c r="H118" i="92" s="1"/>
  <c r="K118" i="92" s="1"/>
  <c r="F167" i="95"/>
  <c r="H167" i="95" s="1"/>
  <c r="K167" i="95" s="1"/>
  <c r="H168" i="95"/>
  <c r="K168" i="95" s="1"/>
  <c r="X79" i="97"/>
  <c r="X81" i="97" s="1"/>
  <c r="X36" i="97"/>
  <c r="AF12" i="97"/>
  <c r="E224" i="94"/>
  <c r="X76" i="97"/>
  <c r="X83" i="97" s="1"/>
  <c r="X47" i="97"/>
  <c r="AF40" i="97"/>
  <c r="B33" i="92"/>
  <c r="B34" i="92" s="1"/>
  <c r="H22" i="95"/>
  <c r="K22" i="95" s="1"/>
  <c r="P22" i="95" s="1"/>
  <c r="F21" i="95"/>
  <c r="H21" i="95" s="1"/>
  <c r="K21" i="95" s="1"/>
  <c r="P21" i="95" s="1"/>
  <c r="I294" i="94"/>
  <c r="I251" i="94"/>
  <c r="E251" i="94" s="1"/>
  <c r="I314" i="94"/>
  <c r="E314" i="94" s="1"/>
  <c r="AF50" i="97"/>
  <c r="X71" i="97"/>
  <c r="H20" i="92"/>
  <c r="K20" i="92" s="1"/>
  <c r="F19" i="92"/>
  <c r="H19" i="92" s="1"/>
  <c r="K19" i="92" s="1"/>
  <c r="G150" i="92"/>
  <c r="G85" i="92"/>
  <c r="O81" i="96"/>
  <c r="Q27" i="96"/>
  <c r="Q30" i="96" s="1"/>
  <c r="O106" i="96"/>
  <c r="Q106" i="96" s="1"/>
  <c r="O30" i="96"/>
  <c r="P28" i="95" l="1"/>
  <c r="R21" i="95"/>
  <c r="R22" i="95" s="1"/>
  <c r="R23" i="95" s="1"/>
  <c r="R24" i="95" s="1"/>
  <c r="R25" i="95" s="1"/>
  <c r="R26" i="95" s="1"/>
  <c r="R27" i="95" s="1"/>
  <c r="R39" i="95" s="1"/>
  <c r="R127" i="92"/>
  <c r="R129" i="92" s="1"/>
  <c r="L127" i="92"/>
  <c r="L129" i="92" s="1"/>
  <c r="EM120" i="72"/>
  <c r="EO120" i="72" s="1"/>
  <c r="EO119" i="72"/>
  <c r="EI120" i="72"/>
  <c r="EK120" i="72" s="1"/>
  <c r="EK119" i="72"/>
  <c r="EE121" i="72"/>
  <c r="J34" i="92"/>
  <c r="L19" i="92"/>
  <c r="L20" i="92"/>
  <c r="L21" i="92" s="1"/>
  <c r="L22" i="92" s="1"/>
  <c r="L23" i="92" s="1"/>
  <c r="L24" i="92" s="1"/>
  <c r="L25" i="92" s="1"/>
  <c r="L37" i="92" s="1"/>
  <c r="AF76" i="97"/>
  <c r="AF47" i="97"/>
  <c r="K36" i="96"/>
  <c r="AF79" i="97"/>
  <c r="AF81" i="97" s="1"/>
  <c r="K16" i="96"/>
  <c r="AF36" i="97"/>
  <c r="L167" i="95"/>
  <c r="L168" i="95" s="1"/>
  <c r="L169" i="95" s="1"/>
  <c r="L170" i="95" s="1"/>
  <c r="L171" i="95" s="1"/>
  <c r="L172" i="95" s="1"/>
  <c r="L173" i="95" s="1"/>
  <c r="L185" i="95" s="1"/>
  <c r="L186" i="95" s="1"/>
  <c r="H227" i="95" s="1"/>
  <c r="K174" i="95"/>
  <c r="L52" i="92"/>
  <c r="L53" i="92" s="1"/>
  <c r="L54" i="92" s="1"/>
  <c r="L55" i="92" s="1"/>
  <c r="L56" i="92" s="1"/>
  <c r="L57" i="92" s="1"/>
  <c r="L58" i="92" s="1"/>
  <c r="L70" i="92" s="1"/>
  <c r="L71" i="92" s="1"/>
  <c r="H79" i="48" s="1"/>
  <c r="G86" i="92"/>
  <c r="G151" i="92"/>
  <c r="N34" i="92"/>
  <c r="X73" i="97"/>
  <c r="L118" i="92"/>
  <c r="L134" i="95"/>
  <c r="L135" i="95" s="1"/>
  <c r="L136" i="95" s="1"/>
  <c r="L137" i="95" s="1"/>
  <c r="L138" i="95" s="1"/>
  <c r="L139" i="95" s="1"/>
  <c r="L140" i="95" s="1"/>
  <c r="L152" i="95" s="1"/>
  <c r="L153" i="95" s="1"/>
  <c r="H226" i="95" s="1"/>
  <c r="K141" i="95"/>
  <c r="L87" i="95"/>
  <c r="L88" i="95" s="1"/>
  <c r="L89" i="95" s="1"/>
  <c r="L90" i="95" s="1"/>
  <c r="L91" i="95" s="1"/>
  <c r="L92" i="95" s="1"/>
  <c r="L93" i="95" s="1"/>
  <c r="L105" i="95" s="1"/>
  <c r="K94" i="95"/>
  <c r="B38" i="95"/>
  <c r="N38" i="95"/>
  <c r="J38" i="95"/>
  <c r="I15" i="94"/>
  <c r="E294" i="94"/>
  <c r="Q81" i="96"/>
  <c r="R67" i="95" s="1"/>
  <c r="R69" i="95" s="1"/>
  <c r="R71" i="95" s="1"/>
  <c r="R73" i="95" s="1"/>
  <c r="N114" i="95" s="1"/>
  <c r="O84" i="96"/>
  <c r="AF71" i="97"/>
  <c r="K19" i="96"/>
  <c r="L21" i="95"/>
  <c r="L22" i="95" s="1"/>
  <c r="L23" i="95" s="1"/>
  <c r="L24" i="95" s="1"/>
  <c r="L25" i="95" s="1"/>
  <c r="L26" i="95" s="1"/>
  <c r="L27" i="95" s="1"/>
  <c r="L39" i="95" s="1"/>
  <c r="B36" i="92"/>
  <c r="J36" i="92"/>
  <c r="N36" i="92"/>
  <c r="L119" i="92"/>
  <c r="L120" i="92" s="1"/>
  <c r="L121" i="92" s="1"/>
  <c r="L122" i="92" s="1"/>
  <c r="L123" i="92" s="1"/>
  <c r="L124" i="92" s="1"/>
  <c r="L136" i="92" s="1"/>
  <c r="H85" i="92"/>
  <c r="K85" i="92" s="1"/>
  <c r="F151" i="92"/>
  <c r="L200" i="95"/>
  <c r="L201" i="95" s="1"/>
  <c r="L202" i="95" s="1"/>
  <c r="L203" i="95" s="1"/>
  <c r="L204" i="95" s="1"/>
  <c r="L205" i="95" s="1"/>
  <c r="L206" i="95" s="1"/>
  <c r="L218" i="95" s="1"/>
  <c r="L219" i="95" s="1"/>
  <c r="H228" i="95" s="1"/>
  <c r="K207" i="95"/>
  <c r="N36" i="95"/>
  <c r="L30" i="92" l="1"/>
  <c r="R30" i="92"/>
  <c r="EI121" i="72"/>
  <c r="EM121" i="72"/>
  <c r="EE122" i="72"/>
  <c r="EG122" i="72" s="1"/>
  <c r="EG121" i="72"/>
  <c r="H151" i="92"/>
  <c r="K151" i="92" s="1"/>
  <c r="H230" i="95"/>
  <c r="H87" i="48" s="1"/>
  <c r="K107" i="96"/>
  <c r="K73" i="96"/>
  <c r="K90" i="96"/>
  <c r="K93" i="96" s="1"/>
  <c r="K39" i="96"/>
  <c r="K106" i="96"/>
  <c r="L151" i="92"/>
  <c r="L85" i="92"/>
  <c r="B37" i="92"/>
  <c r="B38" i="92" s="1"/>
  <c r="E15" i="94"/>
  <c r="E17" i="94" s="1"/>
  <c r="I17" i="94"/>
  <c r="B39" i="95"/>
  <c r="B40" i="95" s="1"/>
  <c r="J40" i="95"/>
  <c r="AF73" i="97"/>
  <c r="L69" i="95"/>
  <c r="L71" i="95" s="1"/>
  <c r="L73" i="95" s="1"/>
  <c r="H114" i="95" s="1"/>
  <c r="Q84" i="96"/>
  <c r="G152" i="92"/>
  <c r="H152" i="92" s="1"/>
  <c r="K152" i="92" s="1"/>
  <c r="G87" i="92"/>
  <c r="H86" i="92"/>
  <c r="K86" i="92" s="1"/>
  <c r="K104" i="96"/>
  <c r="K21" i="96"/>
  <c r="K41" i="96" s="1"/>
  <c r="K70" i="96"/>
  <c r="AF83" i="97"/>
  <c r="K109" i="96" l="1"/>
  <c r="K113" i="96" s="1"/>
  <c r="K123" i="96" s="1"/>
  <c r="L86" i="92"/>
  <c r="EI122" i="72"/>
  <c r="EK122" i="72" s="1"/>
  <c r="EK121" i="72"/>
  <c r="EM122" i="72"/>
  <c r="EO122" i="72" s="1"/>
  <c r="EO121" i="72"/>
  <c r="EE123" i="72"/>
  <c r="B45" i="92"/>
  <c r="B47" i="92" s="1"/>
  <c r="J38" i="92"/>
  <c r="G88" i="92"/>
  <c r="G153" i="92"/>
  <c r="H153" i="92" s="1"/>
  <c r="K153" i="92" s="1"/>
  <c r="H87" i="92"/>
  <c r="K87" i="92" s="1"/>
  <c r="K75" i="96"/>
  <c r="K95" i="96" s="1"/>
  <c r="L113" i="95"/>
  <c r="F113" i="95"/>
  <c r="B47" i="95"/>
  <c r="B49" i="95" s="1"/>
  <c r="D59" i="92"/>
  <c r="B48" i="92"/>
  <c r="B49" i="92" s="1"/>
  <c r="B50" i="92" s="1"/>
  <c r="B51" i="92" s="1"/>
  <c r="B52" i="92" s="1"/>
  <c r="B53" i="92" s="1"/>
  <c r="B54" i="92" s="1"/>
  <c r="B55" i="92" s="1"/>
  <c r="B56" i="92" s="1"/>
  <c r="B57" i="92" s="1"/>
  <c r="B58" i="92" s="1"/>
  <c r="O73" i="96"/>
  <c r="Q73" i="96" s="1"/>
  <c r="O107" i="96"/>
  <c r="Q107" i="96" s="1"/>
  <c r="Q19" i="96"/>
  <c r="K242" i="96"/>
  <c r="K244" i="96" s="1"/>
  <c r="K125" i="96"/>
  <c r="L152" i="92"/>
  <c r="O70" i="96"/>
  <c r="O104" i="96"/>
  <c r="O21" i="96"/>
  <c r="O41" i="96" s="1"/>
  <c r="Q16" i="96"/>
  <c r="N40" i="95"/>
  <c r="N38" i="92"/>
  <c r="L102" i="95" l="1"/>
  <c r="L104" i="95" s="1"/>
  <c r="L106" i="95" s="1"/>
  <c r="H115" i="95" s="1"/>
  <c r="R100" i="95"/>
  <c r="R102" i="95" s="1"/>
  <c r="R104" i="95" s="1"/>
  <c r="R106" i="95" s="1"/>
  <c r="N115" i="95" s="1"/>
  <c r="EM123" i="72"/>
  <c r="EI123" i="72"/>
  <c r="EE124" i="72"/>
  <c r="EG124" i="72" s="1"/>
  <c r="EG123" i="72"/>
  <c r="Q21" i="96"/>
  <c r="Q41" i="96" s="1"/>
  <c r="L87" i="92"/>
  <c r="O109" i="96"/>
  <c r="Q104" i="96"/>
  <c r="Q109" i="96" s="1"/>
  <c r="Q113" i="96" s="1"/>
  <c r="Q123" i="96" s="1"/>
  <c r="L153" i="92"/>
  <c r="B50" i="95"/>
  <c r="B51" i="95" s="1"/>
  <c r="B52" i="95" s="1"/>
  <c r="B53" i="95" s="1"/>
  <c r="B54" i="95" s="1"/>
  <c r="B55" i="95" s="1"/>
  <c r="B56" i="95" s="1"/>
  <c r="B57" i="95" s="1"/>
  <c r="B58" i="95" s="1"/>
  <c r="B59" i="95" s="1"/>
  <c r="B60" i="95" s="1"/>
  <c r="D61" i="95"/>
  <c r="O75" i="96"/>
  <c r="O95" i="96" s="1"/>
  <c r="Q70" i="96"/>
  <c r="R34" i="95" s="1"/>
  <c r="R36" i="95" s="1"/>
  <c r="R38" i="95" s="1"/>
  <c r="R40" i="95" s="1"/>
  <c r="N113" i="95" s="1"/>
  <c r="J70" i="92"/>
  <c r="N70" i="92"/>
  <c r="B59" i="92"/>
  <c r="B61" i="92" s="1"/>
  <c r="G154" i="92"/>
  <c r="H154" i="92" s="1"/>
  <c r="K154" i="92" s="1"/>
  <c r="G89" i="92"/>
  <c r="H88" i="92"/>
  <c r="K88" i="92" s="1"/>
  <c r="N117" i="95" l="1"/>
  <c r="EI124" i="72"/>
  <c r="EK124" i="72" s="1"/>
  <c r="EK123" i="72"/>
  <c r="EM124" i="72"/>
  <c r="EO124" i="72" s="1"/>
  <c r="EO123" i="72"/>
  <c r="EE125" i="72"/>
  <c r="O113" i="96"/>
  <c r="O123" i="96" s="1"/>
  <c r="O125" i="96" s="1"/>
  <c r="L255" i="65"/>
  <c r="L88" i="92"/>
  <c r="B62" i="92"/>
  <c r="B63" i="92" s="1"/>
  <c r="Q125" i="96"/>
  <c r="Q242" i="96"/>
  <c r="Q244" i="96" s="1"/>
  <c r="G90" i="92"/>
  <c r="G155" i="92"/>
  <c r="H155" i="92" s="1"/>
  <c r="K155" i="92" s="1"/>
  <c r="H89" i="92"/>
  <c r="K89" i="92" s="1"/>
  <c r="N72" i="95"/>
  <c r="J72" i="95"/>
  <c r="B61" i="95"/>
  <c r="B63" i="95" s="1"/>
  <c r="L154" i="92"/>
  <c r="L36" i="95"/>
  <c r="L38" i="95" s="1"/>
  <c r="L40" i="95" s="1"/>
  <c r="H113" i="95" s="1"/>
  <c r="H117" i="95" s="1"/>
  <c r="H86" i="48" s="1"/>
  <c r="Q75" i="96"/>
  <c r="Q95" i="96" s="1"/>
  <c r="L89" i="92" l="1"/>
  <c r="O242" i="96"/>
  <c r="O244" i="96" s="1"/>
  <c r="EM125" i="72"/>
  <c r="EI125" i="72"/>
  <c r="EE126" i="72"/>
  <c r="EG126" i="72" s="1"/>
  <c r="EG125" i="72"/>
  <c r="N63" i="92"/>
  <c r="B65" i="92"/>
  <c r="G156" i="92"/>
  <c r="H156" i="92" s="1"/>
  <c r="K156" i="92" s="1"/>
  <c r="G91" i="92"/>
  <c r="H90" i="92"/>
  <c r="K90" i="92" s="1"/>
  <c r="B64" i="95"/>
  <c r="B65" i="95" s="1"/>
  <c r="N65" i="95"/>
  <c r="L155" i="92"/>
  <c r="J63" i="92"/>
  <c r="EI126" i="72" l="1"/>
  <c r="EK126" i="72" s="1"/>
  <c r="EK125" i="72"/>
  <c r="EM126" i="72"/>
  <c r="EO126" i="72" s="1"/>
  <c r="EO125" i="72"/>
  <c r="EE127" i="72"/>
  <c r="L156" i="92"/>
  <c r="B67" i="95"/>
  <c r="L90" i="92"/>
  <c r="B66" i="92"/>
  <c r="B67" i="92" s="1"/>
  <c r="J65" i="95"/>
  <c r="G157" i="92"/>
  <c r="H157" i="92" s="1"/>
  <c r="K157" i="92" s="1"/>
  <c r="H91" i="92"/>
  <c r="K91" i="92" s="1"/>
  <c r="EM127" i="72" l="1"/>
  <c r="EI127" i="72"/>
  <c r="EE128" i="72"/>
  <c r="EG128" i="72" s="1"/>
  <c r="EG127" i="72"/>
  <c r="J67" i="92"/>
  <c r="L91" i="92"/>
  <c r="L157" i="92"/>
  <c r="L169" i="92" s="1"/>
  <c r="L170" i="92" s="1"/>
  <c r="H82" i="48" s="1"/>
  <c r="N67" i="92"/>
  <c r="B69" i="92"/>
  <c r="J69" i="92"/>
  <c r="N69" i="92"/>
  <c r="B68" i="95"/>
  <c r="B69" i="95" s="1"/>
  <c r="EI128" i="72" l="1"/>
  <c r="EK128" i="72" s="1"/>
  <c r="EK127" i="72"/>
  <c r="EM128" i="72"/>
  <c r="EO128" i="72" s="1"/>
  <c r="EO127" i="72"/>
  <c r="EE129" i="72"/>
  <c r="J69" i="95"/>
  <c r="B71" i="95"/>
  <c r="J71" i="95"/>
  <c r="N71" i="95"/>
  <c r="N69" i="95"/>
  <c r="B70" i="92"/>
  <c r="B71" i="92" s="1"/>
  <c r="J71" i="92"/>
  <c r="L103" i="92"/>
  <c r="EM129" i="72" l="1"/>
  <c r="EI129" i="72"/>
  <c r="EE130" i="72"/>
  <c r="EG130" i="72" s="1"/>
  <c r="EG129" i="72"/>
  <c r="B78" i="92"/>
  <c r="B80" i="92" s="1"/>
  <c r="B81" i="92"/>
  <c r="B82" i="92" s="1"/>
  <c r="B83" i="92" s="1"/>
  <c r="B84" i="92" s="1"/>
  <c r="B85" i="92" s="1"/>
  <c r="B86" i="92" s="1"/>
  <c r="B87" i="92" s="1"/>
  <c r="B88" i="92" s="1"/>
  <c r="B89" i="92" s="1"/>
  <c r="B90" i="92" s="1"/>
  <c r="B91" i="92" s="1"/>
  <c r="D92" i="92"/>
  <c r="N71" i="92"/>
  <c r="B72" i="95"/>
  <c r="B73" i="95" s="1"/>
  <c r="J73" i="95"/>
  <c r="EI130" i="72" l="1"/>
  <c r="EK130" i="72" s="1"/>
  <c r="EK129" i="72"/>
  <c r="EM130" i="72"/>
  <c r="EO130" i="72" s="1"/>
  <c r="EO129" i="72"/>
  <c r="EE131" i="72"/>
  <c r="N73" i="95"/>
  <c r="F114" i="95"/>
  <c r="L114" i="95"/>
  <c r="B80" i="95"/>
  <c r="B82" i="95" s="1"/>
  <c r="N103" i="92"/>
  <c r="J103" i="92"/>
  <c r="B92" i="92"/>
  <c r="B94" i="92" s="1"/>
  <c r="EM131" i="72" l="1"/>
  <c r="EI131" i="72"/>
  <c r="EE132" i="72"/>
  <c r="EG132" i="72" s="1"/>
  <c r="EG131" i="72"/>
  <c r="B83" i="95"/>
  <c r="B84" i="95" s="1"/>
  <c r="B85" i="95" s="1"/>
  <c r="B86" i="95" s="1"/>
  <c r="B87" i="95" s="1"/>
  <c r="B88" i="95" s="1"/>
  <c r="B89" i="95" s="1"/>
  <c r="B90" i="95" s="1"/>
  <c r="B91" i="95" s="1"/>
  <c r="B92" i="95" s="1"/>
  <c r="B93" i="95" s="1"/>
  <c r="D94" i="95" s="1"/>
  <c r="N96" i="92"/>
  <c r="B95" i="92"/>
  <c r="B96" i="92" s="1"/>
  <c r="EI132" i="72" l="1"/>
  <c r="EK132" i="72" s="1"/>
  <c r="EK131" i="72"/>
  <c r="EM132" i="72"/>
  <c r="EO132" i="72" s="1"/>
  <c r="EO131" i="72"/>
  <c r="EE133" i="72"/>
  <c r="J96" i="92"/>
  <c r="B98" i="92"/>
  <c r="J105" i="95"/>
  <c r="N105" i="95"/>
  <c r="B94" i="95"/>
  <c r="B96" i="95" s="1"/>
  <c r="EM133" i="72" l="1"/>
  <c r="EI133" i="72"/>
  <c r="EE134" i="72"/>
  <c r="EG134" i="72" s="1"/>
  <c r="EG133" i="72"/>
  <c r="B99" i="92"/>
  <c r="B100" i="92" s="1"/>
  <c r="B97" i="95"/>
  <c r="B98" i="95" s="1"/>
  <c r="J98" i="95"/>
  <c r="EI134" i="72" l="1"/>
  <c r="EK134" i="72" s="1"/>
  <c r="EK133" i="72"/>
  <c r="EM134" i="72"/>
  <c r="EO134" i="72" s="1"/>
  <c r="EO133" i="72"/>
  <c r="EE135" i="72"/>
  <c r="N98" i="95"/>
  <c r="B102" i="92"/>
  <c r="J102" i="92"/>
  <c r="N102" i="92"/>
  <c r="N100" i="92"/>
  <c r="B100" i="95"/>
  <c r="J100" i="92"/>
  <c r="EM135" i="72" l="1"/>
  <c r="EI135" i="72"/>
  <c r="EE136" i="72"/>
  <c r="EG136" i="72" s="1"/>
  <c r="EG135" i="72"/>
  <c r="B101" i="95"/>
  <c r="B102" i="95" s="1"/>
  <c r="J102" i="95"/>
  <c r="B103" i="92"/>
  <c r="B104" i="92" s="1"/>
  <c r="EI136" i="72" l="1"/>
  <c r="EK136" i="72" s="1"/>
  <c r="EK135" i="72"/>
  <c r="EM136" i="72"/>
  <c r="EO136" i="72" s="1"/>
  <c r="EO135" i="72"/>
  <c r="EE137" i="72"/>
  <c r="B111" i="92"/>
  <c r="B113" i="92" s="1"/>
  <c r="N104" i="92"/>
  <c r="J104" i="92"/>
  <c r="B104" i="95"/>
  <c r="J104" i="95"/>
  <c r="N104" i="95"/>
  <c r="B114" i="92"/>
  <c r="B115" i="92" s="1"/>
  <c r="B116" i="92" s="1"/>
  <c r="B117" i="92" s="1"/>
  <c r="B118" i="92" s="1"/>
  <c r="B119" i="92" s="1"/>
  <c r="B120" i="92" s="1"/>
  <c r="B121" i="92" s="1"/>
  <c r="B122" i="92" s="1"/>
  <c r="B123" i="92" s="1"/>
  <c r="B124" i="92" s="1"/>
  <c r="N102" i="95"/>
  <c r="EM137" i="72" l="1"/>
  <c r="EI137" i="72"/>
  <c r="EE138" i="72"/>
  <c r="EG138" i="72" s="1"/>
  <c r="EG137" i="72"/>
  <c r="J136" i="92"/>
  <c r="N136" i="92"/>
  <c r="B125" i="92"/>
  <c r="B127" i="92" s="1"/>
  <c r="D125" i="92"/>
  <c r="B105" i="95"/>
  <c r="B106" i="95" s="1"/>
  <c r="J106" i="95"/>
  <c r="EI138" i="72" l="1"/>
  <c r="EK138" i="72" s="1"/>
  <c r="EK137" i="72"/>
  <c r="EM138" i="72"/>
  <c r="EO138" i="72" s="1"/>
  <c r="EO137" i="72"/>
  <c r="EE139" i="72"/>
  <c r="B128" i="92"/>
  <c r="B129" i="92" s="1"/>
  <c r="F115" i="95"/>
  <c r="B113" i="95"/>
  <c r="B114" i="95" s="1"/>
  <c r="B115" i="95" s="1"/>
  <c r="B117" i="95" s="1"/>
  <c r="L115" i="95"/>
  <c r="N106" i="95"/>
  <c r="EM139" i="72" l="1"/>
  <c r="EI139" i="72"/>
  <c r="EE140" i="72"/>
  <c r="EG140" i="72" s="1"/>
  <c r="EG139" i="72"/>
  <c r="B127" i="95"/>
  <c r="B129" i="95" s="1"/>
  <c r="J129" i="92"/>
  <c r="B131" i="92"/>
  <c r="B130" i="95"/>
  <c r="B131" i="95" s="1"/>
  <c r="B132" i="95" s="1"/>
  <c r="B133" i="95" s="1"/>
  <c r="B134" i="95" s="1"/>
  <c r="B135" i="95" s="1"/>
  <c r="B136" i="95" s="1"/>
  <c r="B137" i="95" s="1"/>
  <c r="B138" i="95" s="1"/>
  <c r="B139" i="95" s="1"/>
  <c r="B140" i="95" s="1"/>
  <c r="N129" i="92"/>
  <c r="EI140" i="72" l="1"/>
  <c r="EK140" i="72" s="1"/>
  <c r="EK139" i="72"/>
  <c r="EM140" i="72"/>
  <c r="EO140" i="72" s="1"/>
  <c r="EO139" i="72"/>
  <c r="EE141" i="72"/>
  <c r="N152" i="95"/>
  <c r="J152" i="95"/>
  <c r="B141" i="95"/>
  <c r="B143" i="95" s="1"/>
  <c r="B132" i="92"/>
  <c r="B133" i="92" s="1"/>
  <c r="D141" i="95"/>
  <c r="EM141" i="72" l="1"/>
  <c r="EI141" i="72"/>
  <c r="EE142" i="72"/>
  <c r="EG142" i="72" s="1"/>
  <c r="EG141" i="72"/>
  <c r="N133" i="92"/>
  <c r="J133" i="92"/>
  <c r="B144" i="95"/>
  <c r="B145" i="95" s="1"/>
  <c r="J145" i="95"/>
  <c r="B135" i="92"/>
  <c r="J135" i="92"/>
  <c r="N135" i="92"/>
  <c r="EI142" i="72" l="1"/>
  <c r="EK142" i="72" s="1"/>
  <c r="EK141" i="72"/>
  <c r="EM142" i="72"/>
  <c r="EO142" i="72" s="1"/>
  <c r="EO141" i="72"/>
  <c r="EE143" i="72"/>
  <c r="B147" i="95"/>
  <c r="B136" i="92"/>
  <c r="B137" i="92" s="1"/>
  <c r="J137" i="92"/>
  <c r="N145" i="95"/>
  <c r="EM143" i="72" l="1"/>
  <c r="EI143" i="72"/>
  <c r="EE144" i="72"/>
  <c r="EG144" i="72" s="1"/>
  <c r="EG143" i="72"/>
  <c r="N137" i="92"/>
  <c r="B144" i="92"/>
  <c r="B146" i="92" s="1"/>
  <c r="B148" i="95"/>
  <c r="B149" i="95" s="1"/>
  <c r="B147" i="92"/>
  <c r="B148" i="92" s="1"/>
  <c r="B149" i="92" s="1"/>
  <c r="B150" i="92" s="1"/>
  <c r="B151" i="92" s="1"/>
  <c r="B152" i="92" s="1"/>
  <c r="B153" i="92" s="1"/>
  <c r="B154" i="92" s="1"/>
  <c r="B155" i="92" s="1"/>
  <c r="B156" i="92" s="1"/>
  <c r="B157" i="92" s="1"/>
  <c r="EI144" i="72" l="1"/>
  <c r="EK144" i="72" s="1"/>
  <c r="EK143" i="72"/>
  <c r="EM144" i="72"/>
  <c r="EO144" i="72" s="1"/>
  <c r="EO143" i="72"/>
  <c r="EE145" i="72"/>
  <c r="B158" i="92"/>
  <c r="B160" i="92" s="1"/>
  <c r="N169" i="92"/>
  <c r="J169" i="92"/>
  <c r="B151" i="95"/>
  <c r="N151" i="95"/>
  <c r="J151" i="95"/>
  <c r="N149" i="95"/>
  <c r="D158" i="92"/>
  <c r="J149" i="95"/>
  <c r="EM145" i="72" l="1"/>
  <c r="EI145" i="72"/>
  <c r="EE146" i="72"/>
  <c r="EG146" i="72" s="1"/>
  <c r="EG145" i="72"/>
  <c r="B152" i="95"/>
  <c r="B153" i="95" s="1"/>
  <c r="N153" i="95"/>
  <c r="J162" i="92"/>
  <c r="B161" i="92"/>
  <c r="B162" i="92" s="1"/>
  <c r="EI146" i="72" l="1"/>
  <c r="EK146" i="72" s="1"/>
  <c r="EK145" i="72"/>
  <c r="EM146" i="72"/>
  <c r="EO146" i="72" s="1"/>
  <c r="EO145" i="72"/>
  <c r="EE147" i="72"/>
  <c r="B164" i="92"/>
  <c r="B160" i="95"/>
  <c r="B162" i="95" s="1"/>
  <c r="F226" i="95"/>
  <c r="L226" i="95"/>
  <c r="N162" i="92"/>
  <c r="J153" i="95"/>
  <c r="EM147" i="72" l="1"/>
  <c r="EI147" i="72"/>
  <c r="EE148" i="72"/>
  <c r="EG148" i="72" s="1"/>
  <c r="EG147" i="72"/>
  <c r="B163" i="95"/>
  <c r="B164" i="95" s="1"/>
  <c r="B165" i="95" s="1"/>
  <c r="B166" i="95" s="1"/>
  <c r="B167" i="95" s="1"/>
  <c r="B168" i="95" s="1"/>
  <c r="B169" i="95" s="1"/>
  <c r="B170" i="95" s="1"/>
  <c r="B171" i="95" s="1"/>
  <c r="B172" i="95" s="1"/>
  <c r="B173" i="95" s="1"/>
  <c r="B165" i="92"/>
  <c r="B166" i="92" s="1"/>
  <c r="EI148" i="72" l="1"/>
  <c r="EK148" i="72" s="1"/>
  <c r="EK147" i="72"/>
  <c r="EM148" i="72"/>
  <c r="EO148" i="72" s="1"/>
  <c r="EO147" i="72"/>
  <c r="EE149" i="72"/>
  <c r="B168" i="92"/>
  <c r="J168" i="92"/>
  <c r="N168" i="92"/>
  <c r="J166" i="92"/>
  <c r="N185" i="95"/>
  <c r="J185" i="95"/>
  <c r="B174" i="95"/>
  <c r="B176" i="95" s="1"/>
  <c r="N166" i="92"/>
  <c r="D174" i="95"/>
  <c r="EM149" i="72" l="1"/>
  <c r="EI149" i="72"/>
  <c r="EE150" i="72"/>
  <c r="EG150" i="72" s="1"/>
  <c r="EG149" i="72"/>
  <c r="B177" i="95"/>
  <c r="B178" i="95" s="1"/>
  <c r="J178" i="95"/>
  <c r="B169" i="92"/>
  <c r="B170" i="92" s="1"/>
  <c r="EI150" i="72" l="1"/>
  <c r="EK150" i="72" s="1"/>
  <c r="EK149" i="72"/>
  <c r="EM150" i="72"/>
  <c r="EO150" i="72" s="1"/>
  <c r="EO149" i="72"/>
  <c r="EE151" i="72"/>
  <c r="N170" i="92"/>
  <c r="J170" i="92"/>
  <c r="B180" i="95"/>
  <c r="N178" i="95"/>
  <c r="EM151" i="72" l="1"/>
  <c r="EI151" i="72"/>
  <c r="EE152" i="72"/>
  <c r="EG152" i="72" s="1"/>
  <c r="EG151" i="72"/>
  <c r="B181" i="95"/>
  <c r="B182" i="95" s="1"/>
  <c r="N182" i="95"/>
  <c r="EI152" i="72" l="1"/>
  <c r="EK152" i="72" s="1"/>
  <c r="EK151" i="72"/>
  <c r="EM152" i="72"/>
  <c r="EO152" i="72" s="1"/>
  <c r="EO151" i="72"/>
  <c r="EE153" i="72"/>
  <c r="B184" i="95"/>
  <c r="N184" i="95"/>
  <c r="J184" i="95"/>
  <c r="J182" i="95"/>
  <c r="EM153" i="72" l="1"/>
  <c r="EI153" i="72"/>
  <c r="EE154" i="72"/>
  <c r="EG154" i="72" s="1"/>
  <c r="EG153" i="72"/>
  <c r="B185" i="95"/>
  <c r="B186" i="95" s="1"/>
  <c r="N186" i="95"/>
  <c r="EI154" i="72" l="1"/>
  <c r="EK154" i="72" s="1"/>
  <c r="EK153" i="72"/>
  <c r="EM154" i="72"/>
  <c r="EO154" i="72" s="1"/>
  <c r="EO153" i="72"/>
  <c r="EE155" i="72"/>
  <c r="L227" i="95"/>
  <c r="B193" i="95"/>
  <c r="B195" i="95" s="1"/>
  <c r="F227" i="95"/>
  <c r="J186" i="95"/>
  <c r="EM155" i="72" l="1"/>
  <c r="EI155" i="72"/>
  <c r="EE156" i="72"/>
  <c r="EG156" i="72" s="1"/>
  <c r="EG155" i="72"/>
  <c r="B196" i="95"/>
  <c r="B197" i="95" s="1"/>
  <c r="B198" i="95" s="1"/>
  <c r="B199" i="95" s="1"/>
  <c r="B200" i="95" s="1"/>
  <c r="B201" i="95" s="1"/>
  <c r="B202" i="95" s="1"/>
  <c r="B203" i="95" s="1"/>
  <c r="B204" i="95" s="1"/>
  <c r="B205" i="95" s="1"/>
  <c r="B206" i="95" s="1"/>
  <c r="EI156" i="72" l="1"/>
  <c r="EK156" i="72" s="1"/>
  <c r="EK155" i="72"/>
  <c r="EM156" i="72"/>
  <c r="EO156" i="72" s="1"/>
  <c r="EO155" i="72"/>
  <c r="N218" i="95"/>
  <c r="J218" i="95"/>
  <c r="B207" i="95"/>
  <c r="B209" i="95" s="1"/>
  <c r="D207" i="95"/>
  <c r="B210" i="95" l="1"/>
  <c r="B211" i="95" s="1"/>
  <c r="J211" i="95"/>
  <c r="B213" i="95" l="1"/>
  <c r="N211" i="95"/>
  <c r="B214" i="95" l="1"/>
  <c r="B215" i="95" s="1"/>
  <c r="N215" i="95"/>
  <c r="B217" i="95" l="1"/>
  <c r="N217" i="95"/>
  <c r="J217" i="95"/>
  <c r="J215" i="95"/>
  <c r="B218" i="95" l="1"/>
  <c r="B219" i="95" s="1"/>
  <c r="N219" i="95"/>
  <c r="B226" i="95" l="1"/>
  <c r="B227" i="95" s="1"/>
  <c r="B228" i="95" s="1"/>
  <c r="B230" i="95" s="1"/>
  <c r="F228" i="95"/>
  <c r="L228" i="95"/>
  <c r="J219" i="95"/>
  <c r="A258" i="65" l="1"/>
  <c r="A256" i="65"/>
  <c r="A257" i="65"/>
  <c r="A255" i="65"/>
  <c r="A253" i="65"/>
  <c r="H35" i="65"/>
  <c r="H32" i="65"/>
  <c r="H31" i="65"/>
  <c r="H30" i="65"/>
  <c r="H127" i="48" l="1"/>
  <c r="G44" i="84" l="1"/>
  <c r="H44" i="84"/>
  <c r="H51" i="84"/>
  <c r="H52" i="84"/>
  <c r="H53" i="84"/>
  <c r="H54" i="84"/>
  <c r="H55" i="84"/>
  <c r="H56" i="84"/>
  <c r="H57" i="84"/>
  <c r="H58" i="84"/>
  <c r="H59" i="84"/>
  <c r="H60" i="84"/>
  <c r="H61" i="84"/>
  <c r="H62" i="84"/>
  <c r="H63" i="84"/>
  <c r="G52" i="84"/>
  <c r="G53" i="84"/>
  <c r="G54" i="84"/>
  <c r="G55" i="84"/>
  <c r="G56" i="84"/>
  <c r="G57" i="84"/>
  <c r="G58" i="84"/>
  <c r="G59" i="84"/>
  <c r="G60" i="84"/>
  <c r="G61" i="84"/>
  <c r="G62" i="84"/>
  <c r="G63" i="84"/>
  <c r="G51" i="84"/>
  <c r="P44" i="84"/>
  <c r="O44" i="84"/>
  <c r="N44" i="84"/>
  <c r="L44" i="84"/>
  <c r="M24" i="84"/>
  <c r="L24" i="84"/>
  <c r="F24" i="84"/>
  <c r="G24" i="84"/>
  <c r="R11" i="84"/>
  <c r="S11" i="84"/>
  <c r="R12" i="84"/>
  <c r="S12" i="84"/>
  <c r="R13" i="84"/>
  <c r="S13" i="84"/>
  <c r="R14" i="84"/>
  <c r="S14" i="84"/>
  <c r="R15" i="84"/>
  <c r="S15" i="84"/>
  <c r="R16" i="84"/>
  <c r="S16" i="84"/>
  <c r="R17" i="84"/>
  <c r="S17" i="84"/>
  <c r="R18" i="84"/>
  <c r="S18" i="84"/>
  <c r="R19" i="84"/>
  <c r="S19" i="84"/>
  <c r="R20" i="84"/>
  <c r="S20" i="84"/>
  <c r="R21" i="84"/>
  <c r="S21" i="84"/>
  <c r="R22" i="84"/>
  <c r="S22" i="84"/>
  <c r="R23" i="84"/>
  <c r="S23" i="84"/>
  <c r="G64" i="84" l="1"/>
  <c r="H64" i="84"/>
  <c r="S24" i="84"/>
  <c r="R24" i="84"/>
  <c r="F190" i="65" l="1"/>
  <c r="H247" i="48"/>
  <c r="H246" i="48"/>
  <c r="L257" i="65"/>
  <c r="H248" i="48" s="1"/>
  <c r="I82" i="65" l="1"/>
  <c r="H116" i="48" l="1"/>
  <c r="G7" i="85" l="1"/>
  <c r="G9" i="85"/>
  <c r="C10" i="85"/>
  <c r="G21" i="85"/>
  <c r="G22" i="85"/>
  <c r="G23" i="85"/>
  <c r="G24" i="85"/>
  <c r="G25" i="85"/>
  <c r="G26" i="85"/>
  <c r="G27" i="85"/>
  <c r="G28" i="85"/>
  <c r="G29" i="85"/>
  <c r="G30" i="85"/>
  <c r="G31" i="85"/>
  <c r="G32" i="85"/>
  <c r="G33" i="85"/>
  <c r="C34" i="85"/>
  <c r="D25" i="83" s="1"/>
  <c r="D34" i="85"/>
  <c r="E25" i="83"/>
  <c r="G38" i="85"/>
  <c r="G39" i="85"/>
  <c r="G40" i="85"/>
  <c r="G41" i="85"/>
  <c r="G42" i="85"/>
  <c r="G43" i="85"/>
  <c r="G44" i="85"/>
  <c r="G45" i="85"/>
  <c r="G46" i="85"/>
  <c r="G47" i="85"/>
  <c r="G48" i="85"/>
  <c r="G49" i="85"/>
  <c r="G50" i="85"/>
  <c r="C51" i="85"/>
  <c r="G25" i="83" s="1"/>
  <c r="D51" i="85"/>
  <c r="E51" i="85"/>
  <c r="C57" i="85"/>
  <c r="D57" i="85"/>
  <c r="E57" i="85"/>
  <c r="F57" i="85"/>
  <c r="C58" i="85"/>
  <c r="D58" i="85"/>
  <c r="E58" i="85"/>
  <c r="F58" i="85"/>
  <c r="C59" i="85"/>
  <c r="D59" i="85"/>
  <c r="E59" i="85"/>
  <c r="F59" i="85"/>
  <c r="C60" i="85"/>
  <c r="D60" i="85"/>
  <c r="E60" i="85"/>
  <c r="F60" i="85"/>
  <c r="C61" i="85"/>
  <c r="D61" i="85"/>
  <c r="E61" i="85"/>
  <c r="F61" i="85"/>
  <c r="C62" i="85"/>
  <c r="D62" i="85"/>
  <c r="E62" i="85"/>
  <c r="F62" i="85"/>
  <c r="C63" i="85"/>
  <c r="D63" i="85"/>
  <c r="E63" i="85"/>
  <c r="F63" i="85"/>
  <c r="C64" i="85"/>
  <c r="D64" i="85"/>
  <c r="E64" i="85"/>
  <c r="F64" i="85"/>
  <c r="C65" i="85"/>
  <c r="D65" i="85"/>
  <c r="E65" i="85"/>
  <c r="F65" i="85"/>
  <c r="C66" i="85"/>
  <c r="D66" i="85"/>
  <c r="E66" i="85"/>
  <c r="F66" i="85"/>
  <c r="C67" i="85"/>
  <c r="D67" i="85"/>
  <c r="E67" i="85"/>
  <c r="F67" i="85"/>
  <c r="C68" i="85"/>
  <c r="D68" i="85"/>
  <c r="E68" i="85"/>
  <c r="F68" i="85"/>
  <c r="C69" i="85"/>
  <c r="D69" i="85"/>
  <c r="E69" i="85"/>
  <c r="F69" i="85"/>
  <c r="C74" i="85"/>
  <c r="C86" i="85" s="1"/>
  <c r="C14" i="85" s="1"/>
  <c r="D74" i="85"/>
  <c r="D86" i="85" s="1"/>
  <c r="C15" i="85" s="1"/>
  <c r="C75" i="85"/>
  <c r="D75" i="85"/>
  <c r="C76" i="85"/>
  <c r="D76" i="85"/>
  <c r="E86" i="85"/>
  <c r="C16" i="85" s="1"/>
  <c r="C77" i="85"/>
  <c r="D77" i="85"/>
  <c r="C78" i="85"/>
  <c r="D78" i="85"/>
  <c r="C79" i="85"/>
  <c r="D79" i="85"/>
  <c r="C80" i="85"/>
  <c r="D80" i="85"/>
  <c r="C81" i="85"/>
  <c r="D81" i="85"/>
  <c r="C82" i="85"/>
  <c r="D82" i="85"/>
  <c r="C83" i="85"/>
  <c r="D83" i="85"/>
  <c r="C84" i="85"/>
  <c r="D84" i="85"/>
  <c r="C85" i="85"/>
  <c r="D85" i="85"/>
  <c r="G85" i="85" s="1"/>
  <c r="F86" i="85"/>
  <c r="P11" i="84"/>
  <c r="C11" i="83" s="1"/>
  <c r="Q11" i="84"/>
  <c r="D11" i="83" s="1"/>
  <c r="T11" i="84"/>
  <c r="E11" i="83" s="1"/>
  <c r="O12" i="84"/>
  <c r="P12" i="84"/>
  <c r="C12" i="83" s="1"/>
  <c r="Q12" i="84"/>
  <c r="D12" i="83" s="1"/>
  <c r="T12" i="84"/>
  <c r="E12" i="83" s="1"/>
  <c r="O13" i="84"/>
  <c r="P13" i="84"/>
  <c r="C13" i="83" s="1"/>
  <c r="Q13" i="84"/>
  <c r="D13" i="83" s="1"/>
  <c r="T13" i="84"/>
  <c r="E13" i="83" s="1"/>
  <c r="O14" i="84"/>
  <c r="P14" i="84"/>
  <c r="C14" i="83" s="1"/>
  <c r="Q14" i="84"/>
  <c r="D14" i="83" s="1"/>
  <c r="T14" i="84"/>
  <c r="E14" i="83" s="1"/>
  <c r="O15" i="84"/>
  <c r="P15" i="84"/>
  <c r="C15" i="83" s="1"/>
  <c r="Q15" i="84"/>
  <c r="D15" i="83" s="1"/>
  <c r="T15" i="84"/>
  <c r="E15" i="83" s="1"/>
  <c r="O16" i="84"/>
  <c r="P16" i="84"/>
  <c r="C16" i="83" s="1"/>
  <c r="Q16" i="84"/>
  <c r="D16" i="83" s="1"/>
  <c r="T16" i="84"/>
  <c r="E16" i="83" s="1"/>
  <c r="O17" i="84"/>
  <c r="P17" i="84"/>
  <c r="C17" i="83" s="1"/>
  <c r="Q17" i="84"/>
  <c r="D17" i="83" s="1"/>
  <c r="T17" i="84"/>
  <c r="E17" i="83" s="1"/>
  <c r="O18" i="84"/>
  <c r="P18" i="84"/>
  <c r="C18" i="83" s="1"/>
  <c r="Q18" i="84"/>
  <c r="D18" i="83" s="1"/>
  <c r="T18" i="84"/>
  <c r="E18" i="83" s="1"/>
  <c r="O19" i="84"/>
  <c r="P19" i="84"/>
  <c r="C19" i="83" s="1"/>
  <c r="Q19" i="84"/>
  <c r="D19" i="83" s="1"/>
  <c r="T19" i="84"/>
  <c r="E19" i="83" s="1"/>
  <c r="O20" i="84"/>
  <c r="P20" i="84"/>
  <c r="C20" i="83" s="1"/>
  <c r="Q20" i="84"/>
  <c r="D20" i="83" s="1"/>
  <c r="T20" i="84"/>
  <c r="E20" i="83" s="1"/>
  <c r="O21" i="84"/>
  <c r="P21" i="84"/>
  <c r="C21" i="83" s="1"/>
  <c r="Q21" i="84"/>
  <c r="D21" i="83" s="1"/>
  <c r="T21" i="84"/>
  <c r="E21" i="83" s="1"/>
  <c r="P22" i="84"/>
  <c r="Q22" i="84"/>
  <c r="D22" i="83" s="1"/>
  <c r="T22" i="84"/>
  <c r="E22" i="83" s="1"/>
  <c r="O23" i="84"/>
  <c r="P23" i="84"/>
  <c r="C23" i="83" s="1"/>
  <c r="Q23" i="84"/>
  <c r="T23" i="84"/>
  <c r="E23" i="83" s="1"/>
  <c r="D24" i="84"/>
  <c r="E24" i="84"/>
  <c r="H24" i="84"/>
  <c r="I24" i="84"/>
  <c r="J24" i="84"/>
  <c r="K24" i="84"/>
  <c r="N24" i="84"/>
  <c r="C44" i="84"/>
  <c r="D44" i="84"/>
  <c r="E44" i="84"/>
  <c r="F44" i="84"/>
  <c r="I44" i="84"/>
  <c r="J44" i="84"/>
  <c r="K44" i="84"/>
  <c r="M44" i="84"/>
  <c r="Q44" i="84"/>
  <c r="R44" i="84"/>
  <c r="D51" i="84"/>
  <c r="E51" i="84"/>
  <c r="G11" i="83" s="1"/>
  <c r="F51" i="84"/>
  <c r="I11" i="83" s="1"/>
  <c r="I51" i="84"/>
  <c r="H11" i="83" s="1"/>
  <c r="J51" i="84"/>
  <c r="C52" i="84"/>
  <c r="D52" i="84"/>
  <c r="F12" i="83" s="1"/>
  <c r="E52" i="84"/>
  <c r="G12" i="83" s="1"/>
  <c r="F52" i="84"/>
  <c r="I52" i="84"/>
  <c r="H12" i="83" s="1"/>
  <c r="J52" i="84"/>
  <c r="J12" i="83" s="1"/>
  <c r="C53" i="84"/>
  <c r="D53" i="84"/>
  <c r="F13" i="83" s="1"/>
  <c r="E53" i="84"/>
  <c r="G13" i="83" s="1"/>
  <c r="F53" i="84"/>
  <c r="I13" i="83" s="1"/>
  <c r="I53" i="84"/>
  <c r="H13" i="83" s="1"/>
  <c r="J53" i="84"/>
  <c r="C54" i="84"/>
  <c r="D54" i="84"/>
  <c r="F14" i="83" s="1"/>
  <c r="E54" i="84"/>
  <c r="G14" i="83" s="1"/>
  <c r="F54" i="84"/>
  <c r="I14" i="83" s="1"/>
  <c r="I54" i="84"/>
  <c r="H14" i="83" s="1"/>
  <c r="J54" i="84"/>
  <c r="J14" i="83" s="1"/>
  <c r="C55" i="84"/>
  <c r="D55" i="84"/>
  <c r="F15" i="83" s="1"/>
  <c r="E55" i="84"/>
  <c r="F55" i="84"/>
  <c r="I15" i="83" s="1"/>
  <c r="I55" i="84"/>
  <c r="H15" i="83" s="1"/>
  <c r="J55" i="84"/>
  <c r="J15" i="83" s="1"/>
  <c r="C56" i="84"/>
  <c r="D56" i="84"/>
  <c r="F16" i="83" s="1"/>
  <c r="E56" i="84"/>
  <c r="G16" i="83" s="1"/>
  <c r="F56" i="84"/>
  <c r="I16" i="83" s="1"/>
  <c r="I56" i="84"/>
  <c r="H16" i="83" s="1"/>
  <c r="J56" i="84"/>
  <c r="J16" i="83" s="1"/>
  <c r="C57" i="84"/>
  <c r="D57" i="84"/>
  <c r="F17" i="83" s="1"/>
  <c r="E57" i="84"/>
  <c r="G17" i="83" s="1"/>
  <c r="F57" i="84"/>
  <c r="I17" i="83" s="1"/>
  <c r="I57" i="84"/>
  <c r="H17" i="83" s="1"/>
  <c r="J57" i="84"/>
  <c r="J17" i="83" s="1"/>
  <c r="C58" i="84"/>
  <c r="D58" i="84"/>
  <c r="F18" i="83" s="1"/>
  <c r="E58" i="84"/>
  <c r="G18" i="83" s="1"/>
  <c r="F58" i="84"/>
  <c r="I18" i="83" s="1"/>
  <c r="I58" i="84"/>
  <c r="H18" i="83" s="1"/>
  <c r="J58" i="84"/>
  <c r="J18" i="83" s="1"/>
  <c r="C59" i="84"/>
  <c r="D59" i="84"/>
  <c r="F19" i="83" s="1"/>
  <c r="E59" i="84"/>
  <c r="G19" i="83" s="1"/>
  <c r="F59" i="84"/>
  <c r="I19" i="83" s="1"/>
  <c r="I59" i="84"/>
  <c r="H19" i="83" s="1"/>
  <c r="J59" i="84"/>
  <c r="J19" i="83" s="1"/>
  <c r="C60" i="84"/>
  <c r="D60" i="84"/>
  <c r="F20" i="83" s="1"/>
  <c r="E60" i="84"/>
  <c r="G20" i="83" s="1"/>
  <c r="F60" i="84"/>
  <c r="I20" i="83" s="1"/>
  <c r="I60" i="84"/>
  <c r="H20" i="83" s="1"/>
  <c r="J60" i="84"/>
  <c r="J20" i="83" s="1"/>
  <c r="C61" i="84"/>
  <c r="D61" i="84"/>
  <c r="F21" i="83" s="1"/>
  <c r="E61" i="84"/>
  <c r="G21" i="83" s="1"/>
  <c r="F61" i="84"/>
  <c r="I21" i="83" s="1"/>
  <c r="I61" i="84"/>
  <c r="H21" i="83" s="1"/>
  <c r="J61" i="84"/>
  <c r="J21" i="83" s="1"/>
  <c r="C62" i="84"/>
  <c r="D62" i="84"/>
  <c r="F22" i="83" s="1"/>
  <c r="E62" i="84"/>
  <c r="G22" i="83" s="1"/>
  <c r="F62" i="84"/>
  <c r="I22" i="83" s="1"/>
  <c r="I62" i="84"/>
  <c r="H22" i="83" s="1"/>
  <c r="J62" i="84"/>
  <c r="J22" i="83" s="1"/>
  <c r="C63" i="84"/>
  <c r="D63" i="84"/>
  <c r="F23" i="83" s="1"/>
  <c r="E63" i="84"/>
  <c r="G23" i="83" s="1"/>
  <c r="F63" i="84"/>
  <c r="I23" i="83" s="1"/>
  <c r="I63" i="84"/>
  <c r="H23" i="83" s="1"/>
  <c r="J63" i="84"/>
  <c r="J23" i="83" s="1"/>
  <c r="J13" i="83"/>
  <c r="C22" i="83"/>
  <c r="I25" i="83"/>
  <c r="K25" i="83"/>
  <c r="C47" i="83"/>
  <c r="E47" i="83"/>
  <c r="H106" i="48" s="1"/>
  <c r="F47" i="83"/>
  <c r="H103" i="48" s="1"/>
  <c r="H47" i="83"/>
  <c r="K21" i="83" l="1"/>
  <c r="K17" i="83"/>
  <c r="G81" i="85"/>
  <c r="G77" i="85"/>
  <c r="G69" i="85"/>
  <c r="G65" i="85"/>
  <c r="G57" i="85"/>
  <c r="G61" i="85"/>
  <c r="M25" i="83"/>
  <c r="L25" i="83"/>
  <c r="Q24" i="84"/>
  <c r="G64" i="85"/>
  <c r="G63" i="85"/>
  <c r="E70" i="85"/>
  <c r="G58" i="85"/>
  <c r="C17" i="85"/>
  <c r="H34" i="65"/>
  <c r="F70" i="85"/>
  <c r="P24" i="84"/>
  <c r="G68" i="85"/>
  <c r="G60" i="85"/>
  <c r="L11" i="83"/>
  <c r="K22" i="83"/>
  <c r="M20" i="83"/>
  <c r="K14" i="83"/>
  <c r="L18" i="83"/>
  <c r="D23" i="83"/>
  <c r="L23" i="83" s="1"/>
  <c r="K13" i="83"/>
  <c r="C51" i="84"/>
  <c r="C64" i="84" s="1"/>
  <c r="H27" i="48" s="1"/>
  <c r="M16" i="83"/>
  <c r="M12" i="83"/>
  <c r="M23" i="83"/>
  <c r="K20" i="83"/>
  <c r="L19" i="83"/>
  <c r="M19" i="83"/>
  <c r="K18" i="83"/>
  <c r="M15" i="83"/>
  <c r="L14" i="83"/>
  <c r="K16" i="83"/>
  <c r="H24" i="83"/>
  <c r="H26" i="83" s="1"/>
  <c r="H30" i="48" s="1"/>
  <c r="H66" i="48" s="1"/>
  <c r="I64" i="84"/>
  <c r="K23" i="83"/>
  <c r="K19" i="83"/>
  <c r="K15" i="83"/>
  <c r="T24" i="84"/>
  <c r="L22" i="83"/>
  <c r="K12" i="83"/>
  <c r="I12" i="83"/>
  <c r="I24" i="83" s="1"/>
  <c r="I26" i="83" s="1"/>
  <c r="H28" i="48" s="1"/>
  <c r="F64" i="84"/>
  <c r="J64" i="84"/>
  <c r="J11" i="83"/>
  <c r="J24" i="83" s="1"/>
  <c r="D64" i="84"/>
  <c r="F11" i="83"/>
  <c r="K11" i="83" s="1"/>
  <c r="E24" i="83"/>
  <c r="E26" i="83" s="1"/>
  <c r="H50" i="48" s="1"/>
  <c r="C24" i="83"/>
  <c r="C26" i="83" s="1"/>
  <c r="H44" i="48" s="1"/>
  <c r="L20" i="83"/>
  <c r="L16" i="83"/>
  <c r="O11" i="84"/>
  <c r="O24" i="84" s="1"/>
  <c r="H23" i="48" s="1"/>
  <c r="G82" i="85"/>
  <c r="G78" i="85"/>
  <c r="G74" i="85"/>
  <c r="G59" i="85"/>
  <c r="M22" i="83"/>
  <c r="M21" i="83"/>
  <c r="M18" i="83"/>
  <c r="M17" i="83"/>
  <c r="M14" i="83"/>
  <c r="M13" i="83"/>
  <c r="G83" i="85"/>
  <c r="G79" i="85"/>
  <c r="G75" i="85"/>
  <c r="G66" i="85"/>
  <c r="D70" i="85"/>
  <c r="G51" i="85"/>
  <c r="G34" i="85"/>
  <c r="E64" i="84"/>
  <c r="G15" i="83"/>
  <c r="L15" i="83" s="1"/>
  <c r="L21" i="83"/>
  <c r="L17" i="83"/>
  <c r="L13" i="83"/>
  <c r="G84" i="85"/>
  <c r="G80" i="85"/>
  <c r="G76" i="85"/>
  <c r="G67" i="85"/>
  <c r="G62" i="85"/>
  <c r="C70" i="85"/>
  <c r="G86" i="85"/>
  <c r="G70" i="85" l="1"/>
  <c r="M11" i="83"/>
  <c r="M24" i="83" s="1"/>
  <c r="M26" i="83" s="1"/>
  <c r="H64" i="48"/>
  <c r="D24" i="83"/>
  <c r="D26" i="83" s="1"/>
  <c r="H49" i="48" s="1"/>
  <c r="L12" i="83"/>
  <c r="L24" i="83" s="1"/>
  <c r="L26" i="83" s="1"/>
  <c r="G24" i="83"/>
  <c r="G26" i="83" s="1"/>
  <c r="H63" i="48" s="1"/>
  <c r="F24" i="83"/>
  <c r="F26" i="83" s="1"/>
  <c r="H61" i="48" s="1"/>
  <c r="J26" i="83"/>
  <c r="H29" i="48" s="1"/>
  <c r="H65" i="48" s="1"/>
  <c r="K24" i="83" l="1"/>
  <c r="K26" i="83" s="1"/>
  <c r="BX23" i="72" l="1"/>
  <c r="BY23" i="72" s="1"/>
  <c r="BZ23" i="72" s="1"/>
  <c r="CN23" i="72"/>
  <c r="CO23" i="72" s="1"/>
  <c r="CP23" i="72" s="1"/>
  <c r="CZ23" i="72"/>
  <c r="DA23" i="72" s="1"/>
  <c r="DB23" i="72" s="1"/>
  <c r="CR23" i="72"/>
  <c r="CS23" i="72" s="1"/>
  <c r="CT23" i="72" s="1"/>
  <c r="DD23" i="72"/>
  <c r="DE23" i="72" s="1"/>
  <c r="DF23" i="72" s="1"/>
  <c r="EB23" i="72"/>
  <c r="EC23" i="72" s="1"/>
  <c r="ED23" i="72" s="1"/>
  <c r="DX23" i="72"/>
  <c r="DY23" i="72" s="1"/>
  <c r="DZ23" i="72" s="1"/>
  <c r="DH23" i="72"/>
  <c r="DI23" i="72" s="1"/>
  <c r="DJ23" i="72" s="1"/>
  <c r="DL23" i="72"/>
  <c r="DM23" i="72" s="1"/>
  <c r="DN23" i="72" s="1"/>
  <c r="DW30" i="72"/>
  <c r="HH65" i="72" l="1"/>
  <c r="HD65" i="72"/>
  <c r="HH31" i="72"/>
  <c r="HD31" i="72"/>
  <c r="HI85" i="72" l="1"/>
  <c r="HI86" i="72" s="1"/>
  <c r="HI65" i="72"/>
  <c r="HE85" i="72"/>
  <c r="HE86" i="72" s="1"/>
  <c r="HE65" i="72"/>
  <c r="HE66" i="72" s="1"/>
  <c r="HE67" i="72"/>
  <c r="HE68" i="72" s="1"/>
  <c r="HE69" i="72" s="1"/>
  <c r="HE70" i="72" s="1"/>
  <c r="HE71" i="72" s="1"/>
  <c r="HE72" i="72" s="1"/>
  <c r="HE73" i="72" s="1"/>
  <c r="HE74" i="72" s="1"/>
  <c r="HE75" i="72" s="1"/>
  <c r="HE76" i="72" s="1"/>
  <c r="HE77" i="72" s="1"/>
  <c r="HE78" i="72" s="1"/>
  <c r="HE80" i="72" s="1"/>
  <c r="HE82" i="72" s="1"/>
  <c r="HE84" i="72" s="1"/>
  <c r="HI67" i="72"/>
  <c r="HI68" i="72" s="1"/>
  <c r="HI69" i="72" s="1"/>
  <c r="HI70" i="72" s="1"/>
  <c r="HI71" i="72" s="1"/>
  <c r="HI72" i="72" s="1"/>
  <c r="HI73" i="72" s="1"/>
  <c r="HI74" i="72" s="1"/>
  <c r="HI75" i="72" s="1"/>
  <c r="HI76" i="72" s="1"/>
  <c r="HI77" i="72" s="1"/>
  <c r="HI78" i="72" s="1"/>
  <c r="HI80" i="72" s="1"/>
  <c r="HI82" i="72" s="1"/>
  <c r="HI84" i="72" s="1"/>
  <c r="HI66" i="72"/>
  <c r="HF65" i="72"/>
  <c r="HH66" i="72"/>
  <c r="HD66" i="72"/>
  <c r="HF66" i="72" l="1"/>
  <c r="HD67" i="72" s="1"/>
  <c r="HJ66" i="72"/>
  <c r="HH67" i="72" s="1"/>
  <c r="HJ65" i="72"/>
  <c r="HE79" i="72"/>
  <c r="HE81" i="72" s="1"/>
  <c r="HE83" i="72" s="1"/>
  <c r="HI79" i="72"/>
  <c r="HI81" i="72" s="1"/>
  <c r="HI83" i="72" s="1"/>
  <c r="HJ67" i="72"/>
  <c r="HH68" i="72"/>
  <c r="HJ68" i="72" s="1"/>
  <c r="HH69" i="72" s="1"/>
  <c r="HF67" i="72"/>
  <c r="HD68" i="72"/>
  <c r="HF68" i="72" s="1"/>
  <c r="HD69" i="72" l="1"/>
  <c r="HJ69" i="72"/>
  <c r="HH70" i="72"/>
  <c r="HJ70" i="72" s="1"/>
  <c r="HH71" i="72" s="1"/>
  <c r="HJ71" i="72" l="1"/>
  <c r="HH72" i="72"/>
  <c r="HJ72" i="72" s="1"/>
  <c r="HF69" i="72"/>
  <c r="HD70" i="72"/>
  <c r="HF70" i="72" s="1"/>
  <c r="HD71" i="72" l="1"/>
  <c r="HH73" i="72"/>
  <c r="HJ73" i="72" l="1"/>
  <c r="HH74" i="72"/>
  <c r="HJ74" i="72" s="1"/>
  <c r="HF71" i="72"/>
  <c r="HD72" i="72"/>
  <c r="HF72" i="72" s="1"/>
  <c r="HD73" i="72" l="1"/>
  <c r="HH75" i="72"/>
  <c r="HH76" i="72" l="1"/>
  <c r="HJ76" i="72" s="1"/>
  <c r="HJ75" i="72"/>
  <c r="HF73" i="72"/>
  <c r="HD74" i="72"/>
  <c r="HF74" i="72" s="1"/>
  <c r="HD75" i="72" l="1"/>
  <c r="HH77" i="72"/>
  <c r="HJ77" i="72" l="1"/>
  <c r="HH78" i="72"/>
  <c r="HJ78" i="72" s="1"/>
  <c r="HD76" i="72"/>
  <c r="HF76" i="72" s="1"/>
  <c r="HF75" i="72"/>
  <c r="HH79" i="72" l="1"/>
  <c r="HD77" i="72"/>
  <c r="HD78" i="72" l="1"/>
  <c r="HF78" i="72" s="1"/>
  <c r="HF77" i="72"/>
  <c r="HH80" i="72"/>
  <c r="HJ80" i="72" s="1"/>
  <c r="HJ79" i="72"/>
  <c r="HH81" i="72" l="1"/>
  <c r="HD79" i="72"/>
  <c r="HD80" i="72" l="1"/>
  <c r="HF80" i="72" s="1"/>
  <c r="HF79" i="72"/>
  <c r="HJ81" i="72"/>
  <c r="HH82" i="72"/>
  <c r="HJ82" i="72" s="1"/>
  <c r="HH83" i="72" l="1"/>
  <c r="HD81" i="72"/>
  <c r="HD82" i="72" l="1"/>
  <c r="HF82" i="72" s="1"/>
  <c r="HF81" i="72"/>
  <c r="HH84" i="72"/>
  <c r="HJ84" i="72" s="1"/>
  <c r="HJ83" i="72"/>
  <c r="HH85" i="72" l="1"/>
  <c r="HD83" i="72"/>
  <c r="HF83" i="72" l="1"/>
  <c r="HD84" i="72"/>
  <c r="HF84" i="72" s="1"/>
  <c r="HJ85" i="72"/>
  <c r="HH86" i="72"/>
  <c r="HJ86" i="72" s="1"/>
  <c r="HD85" i="72" l="1"/>
  <c r="HD86" i="72" l="1"/>
  <c r="HF86" i="72" s="1"/>
  <c r="HF85" i="72"/>
  <c r="I89" i="65" l="1"/>
  <c r="H68" i="65"/>
  <c r="H126" i="48" s="1"/>
  <c r="I66" i="65"/>
  <c r="I79" i="54" l="1"/>
  <c r="A71" i="64"/>
  <c r="C71" i="64"/>
  <c r="E71" i="64" l="1"/>
  <c r="I78" i="54" l="1"/>
  <c r="H88" i="48" l="1"/>
  <c r="I77" i="54" l="1"/>
  <c r="H83" i="71" l="1"/>
  <c r="H40" i="65" l="1"/>
  <c r="G235" i="65" l="1"/>
  <c r="I95" i="65" l="1"/>
  <c r="EA63" i="72" l="1"/>
  <c r="EA31" i="72"/>
  <c r="DW63" i="72"/>
  <c r="DW64" i="72" s="1"/>
  <c r="DW31" i="72"/>
  <c r="DT23" i="72"/>
  <c r="DU23" i="72" s="1"/>
  <c r="DV23" i="72" s="1"/>
  <c r="DS63" i="72"/>
  <c r="DS64" i="72" s="1"/>
  <c r="DS31" i="72"/>
  <c r="DP23" i="72"/>
  <c r="DQ23" i="72" s="1"/>
  <c r="DR23" i="72" s="1"/>
  <c r="DO63" i="72"/>
  <c r="DO64" i="72" s="1"/>
  <c r="DO31" i="72"/>
  <c r="DT65" i="72" l="1"/>
  <c r="DT67" i="72" s="1"/>
  <c r="DT68" i="72" s="1"/>
  <c r="DT69" i="72" s="1"/>
  <c r="DT70" i="72" s="1"/>
  <c r="DT71" i="72" s="1"/>
  <c r="DT72" i="72" s="1"/>
  <c r="DT73" i="72" s="1"/>
  <c r="DT74" i="72" s="1"/>
  <c r="DT75" i="72" s="1"/>
  <c r="DT76" i="72" s="1"/>
  <c r="DT77" i="72" s="1"/>
  <c r="DT63" i="72"/>
  <c r="DX65" i="72"/>
  <c r="DX63" i="72"/>
  <c r="DP139" i="72"/>
  <c r="DP140" i="72" s="1"/>
  <c r="DP63" i="72"/>
  <c r="DP64" i="72" s="1"/>
  <c r="EB91" i="72"/>
  <c r="EB92" i="72" s="1"/>
  <c r="EB63" i="72"/>
  <c r="EB64" i="72" s="1"/>
  <c r="DP149" i="72"/>
  <c r="DP119" i="72"/>
  <c r="DP120" i="72" s="1"/>
  <c r="DP103" i="72"/>
  <c r="DP104" i="72" s="1"/>
  <c r="DP135" i="72"/>
  <c r="DP136" i="72" s="1"/>
  <c r="DP115" i="72"/>
  <c r="DP116" i="72" s="1"/>
  <c r="DP147" i="72"/>
  <c r="DP148" i="72" s="1"/>
  <c r="DP101" i="72"/>
  <c r="DP102" i="72" s="1"/>
  <c r="DP131" i="72"/>
  <c r="DP132" i="72" s="1"/>
  <c r="DP93" i="72"/>
  <c r="DP94" i="72" s="1"/>
  <c r="DP109" i="72"/>
  <c r="DP110" i="72" s="1"/>
  <c r="DP125" i="72"/>
  <c r="DP126" i="72" s="1"/>
  <c r="DP141" i="72"/>
  <c r="DP142" i="72" s="1"/>
  <c r="DP151" i="72"/>
  <c r="DP152" i="72" s="1"/>
  <c r="DP95" i="72"/>
  <c r="DP96" i="72" s="1"/>
  <c r="DP113" i="72"/>
  <c r="DP114" i="72" s="1"/>
  <c r="DP129" i="72"/>
  <c r="DP130" i="72" s="1"/>
  <c r="DP145" i="72"/>
  <c r="DP146" i="72" s="1"/>
  <c r="EB65" i="72"/>
  <c r="EB67" i="72" s="1"/>
  <c r="EB68" i="72" s="1"/>
  <c r="EB69" i="72" s="1"/>
  <c r="EB70" i="72" s="1"/>
  <c r="EB71" i="72" s="1"/>
  <c r="EB72" i="72" s="1"/>
  <c r="EB73" i="72" s="1"/>
  <c r="EB74" i="72" s="1"/>
  <c r="EB75" i="72" s="1"/>
  <c r="EB76" i="72" s="1"/>
  <c r="EB77" i="72" s="1"/>
  <c r="EB79" i="72" s="1"/>
  <c r="EB81" i="72" s="1"/>
  <c r="EB83" i="72" s="1"/>
  <c r="EB85" i="72" s="1"/>
  <c r="EB87" i="72" s="1"/>
  <c r="EB89" i="72" s="1"/>
  <c r="DX109" i="72"/>
  <c r="DX110" i="72" s="1"/>
  <c r="DX141" i="72"/>
  <c r="DX142" i="72" s="1"/>
  <c r="DX117" i="72"/>
  <c r="DX118" i="72" s="1"/>
  <c r="DX149" i="72"/>
  <c r="DX150" i="72" s="1"/>
  <c r="DP97" i="72"/>
  <c r="DP98" i="72" s="1"/>
  <c r="DP105" i="72"/>
  <c r="DP106" i="72" s="1"/>
  <c r="DP111" i="72"/>
  <c r="DP112" i="72" s="1"/>
  <c r="DP121" i="72"/>
  <c r="DP122" i="72" s="1"/>
  <c r="DP127" i="72"/>
  <c r="DP128" i="72" s="1"/>
  <c r="DP137" i="72"/>
  <c r="DP138" i="72" s="1"/>
  <c r="DP143" i="72"/>
  <c r="DP144" i="72" s="1"/>
  <c r="DT151" i="72"/>
  <c r="DX93" i="72"/>
  <c r="DX94" i="72" s="1"/>
  <c r="DX125" i="72"/>
  <c r="DX126" i="72" s="1"/>
  <c r="DX151" i="72"/>
  <c r="DP91" i="72"/>
  <c r="DP92" i="72" s="1"/>
  <c r="DP99" i="72"/>
  <c r="DP100" i="72" s="1"/>
  <c r="DP107" i="72"/>
  <c r="DP108" i="72" s="1"/>
  <c r="DP117" i="72"/>
  <c r="DP118" i="72" s="1"/>
  <c r="DP123" i="72"/>
  <c r="DP124" i="72" s="1"/>
  <c r="DP133" i="72"/>
  <c r="DP134" i="72" s="1"/>
  <c r="DT64" i="72"/>
  <c r="DU64" i="72" s="1"/>
  <c r="DS65" i="72" s="1"/>
  <c r="DX101" i="72"/>
  <c r="DX102" i="72" s="1"/>
  <c r="DX133" i="72"/>
  <c r="DX134" i="72" s="1"/>
  <c r="EB151" i="72"/>
  <c r="EB152" i="72" s="1"/>
  <c r="EA64" i="72"/>
  <c r="EB93" i="72"/>
  <c r="EB94" i="72" s="1"/>
  <c r="EB95" i="72"/>
  <c r="EB96" i="72" s="1"/>
  <c r="EB97" i="72"/>
  <c r="EB98" i="72" s="1"/>
  <c r="EB99" i="72"/>
  <c r="EB100" i="72" s="1"/>
  <c r="EB101" i="72"/>
  <c r="EB102" i="72" s="1"/>
  <c r="EB103" i="72"/>
  <c r="EB104" i="72" s="1"/>
  <c r="EB105" i="72"/>
  <c r="EB106" i="72" s="1"/>
  <c r="EB107" i="72"/>
  <c r="EB108" i="72" s="1"/>
  <c r="EB109" i="72"/>
  <c r="EB110" i="72" s="1"/>
  <c r="EB111" i="72"/>
  <c r="EB112" i="72" s="1"/>
  <c r="EB113" i="72"/>
  <c r="EB114" i="72" s="1"/>
  <c r="EB115" i="72"/>
  <c r="EB116" i="72" s="1"/>
  <c r="EB117" i="72"/>
  <c r="EB118" i="72" s="1"/>
  <c r="EB119" i="72"/>
  <c r="EB120" i="72" s="1"/>
  <c r="EB121" i="72"/>
  <c r="EB122" i="72" s="1"/>
  <c r="EB123" i="72"/>
  <c r="EB124" i="72" s="1"/>
  <c r="EB125" i="72"/>
  <c r="EB126" i="72" s="1"/>
  <c r="EB127" i="72"/>
  <c r="EB128" i="72" s="1"/>
  <c r="EB129" i="72"/>
  <c r="EB130" i="72" s="1"/>
  <c r="EB131" i="72"/>
  <c r="EB132" i="72" s="1"/>
  <c r="EB133" i="72"/>
  <c r="EB134" i="72" s="1"/>
  <c r="EB135" i="72"/>
  <c r="EB136" i="72" s="1"/>
  <c r="EB137" i="72"/>
  <c r="EB138" i="72" s="1"/>
  <c r="EB139" i="72"/>
  <c r="EB140" i="72" s="1"/>
  <c r="EB141" i="72"/>
  <c r="EB142" i="72" s="1"/>
  <c r="EB143" i="72"/>
  <c r="EB144" i="72" s="1"/>
  <c r="EB145" i="72"/>
  <c r="EB146" i="72" s="1"/>
  <c r="EB147" i="72"/>
  <c r="EB148" i="72" s="1"/>
  <c r="EB149" i="72"/>
  <c r="EB150" i="72" s="1"/>
  <c r="DX95" i="72"/>
  <c r="DX96" i="72" s="1"/>
  <c r="DX103" i="72"/>
  <c r="DX104" i="72" s="1"/>
  <c r="DX111" i="72"/>
  <c r="DX112" i="72" s="1"/>
  <c r="DX119" i="72"/>
  <c r="DX120" i="72" s="1"/>
  <c r="DX127" i="72"/>
  <c r="DX128" i="72" s="1"/>
  <c r="DX135" i="72"/>
  <c r="DX136" i="72" s="1"/>
  <c r="DX143" i="72"/>
  <c r="DX144" i="72" s="1"/>
  <c r="DX152" i="72"/>
  <c r="DX97" i="72"/>
  <c r="DX98" i="72" s="1"/>
  <c r="DX105" i="72"/>
  <c r="DX106" i="72" s="1"/>
  <c r="DX113" i="72"/>
  <c r="DX114" i="72" s="1"/>
  <c r="DX121" i="72"/>
  <c r="DX122" i="72" s="1"/>
  <c r="DX129" i="72"/>
  <c r="DX130" i="72" s="1"/>
  <c r="DX137" i="72"/>
  <c r="DX138" i="72" s="1"/>
  <c r="DX145" i="72"/>
  <c r="DX146" i="72" s="1"/>
  <c r="DX91" i="72"/>
  <c r="DX92" i="72" s="1"/>
  <c r="DX99" i="72"/>
  <c r="DX100" i="72" s="1"/>
  <c r="DX107" i="72"/>
  <c r="DX108" i="72" s="1"/>
  <c r="DX115" i="72"/>
  <c r="DX116" i="72" s="1"/>
  <c r="DX123" i="72"/>
  <c r="DX124" i="72" s="1"/>
  <c r="DX131" i="72"/>
  <c r="DX132" i="72" s="1"/>
  <c r="DX139" i="72"/>
  <c r="DX140" i="72" s="1"/>
  <c r="DX147" i="72"/>
  <c r="DX148" i="72" s="1"/>
  <c r="DX67" i="72"/>
  <c r="DX68" i="72" s="1"/>
  <c r="DX69" i="72" s="1"/>
  <c r="DX70" i="72" s="1"/>
  <c r="DX71" i="72" s="1"/>
  <c r="DX72" i="72" s="1"/>
  <c r="DX73" i="72" s="1"/>
  <c r="DX74" i="72" s="1"/>
  <c r="DX75" i="72" s="1"/>
  <c r="DX76" i="72" s="1"/>
  <c r="DX77" i="72" s="1"/>
  <c r="DX66" i="72"/>
  <c r="DT78" i="72"/>
  <c r="DT80" i="72" s="1"/>
  <c r="DT82" i="72" s="1"/>
  <c r="DT84" i="72" s="1"/>
  <c r="DT86" i="72" s="1"/>
  <c r="DT88" i="72" s="1"/>
  <c r="DT90" i="72" s="1"/>
  <c r="DT79" i="72"/>
  <c r="DT81" i="72" s="1"/>
  <c r="DT83" i="72" s="1"/>
  <c r="DT85" i="72" s="1"/>
  <c r="DT87" i="72" s="1"/>
  <c r="DT89" i="72" s="1"/>
  <c r="DT152" i="72"/>
  <c r="DT149" i="72"/>
  <c r="DT150" i="72" s="1"/>
  <c r="DT147" i="72"/>
  <c r="DT148" i="72" s="1"/>
  <c r="DT145" i="72"/>
  <c r="DT146" i="72" s="1"/>
  <c r="DT143" i="72"/>
  <c r="DT144" i="72" s="1"/>
  <c r="DT141" i="72"/>
  <c r="DT142" i="72" s="1"/>
  <c r="DT139" i="72"/>
  <c r="DT140" i="72" s="1"/>
  <c r="DT137" i="72"/>
  <c r="DT138" i="72" s="1"/>
  <c r="DT135" i="72"/>
  <c r="DT136" i="72" s="1"/>
  <c r="DT133" i="72"/>
  <c r="DT134" i="72" s="1"/>
  <c r="DT131" i="72"/>
  <c r="DT132" i="72" s="1"/>
  <c r="DT129" i="72"/>
  <c r="DT130" i="72" s="1"/>
  <c r="DT127" i="72"/>
  <c r="DT128" i="72" s="1"/>
  <c r="DT125" i="72"/>
  <c r="DT126" i="72" s="1"/>
  <c r="DT123" i="72"/>
  <c r="DT124" i="72" s="1"/>
  <c r="DT121" i="72"/>
  <c r="DT122" i="72" s="1"/>
  <c r="DT119" i="72"/>
  <c r="DT120" i="72" s="1"/>
  <c r="DT117" i="72"/>
  <c r="DT118" i="72" s="1"/>
  <c r="DT115" i="72"/>
  <c r="DT116" i="72" s="1"/>
  <c r="DT113" i="72"/>
  <c r="DT114" i="72" s="1"/>
  <c r="DT111" i="72"/>
  <c r="DT112" i="72" s="1"/>
  <c r="DT109" i="72"/>
  <c r="DT110" i="72" s="1"/>
  <c r="DT107" i="72"/>
  <c r="DT108" i="72" s="1"/>
  <c r="DT105" i="72"/>
  <c r="DT106" i="72" s="1"/>
  <c r="DT103" i="72"/>
  <c r="DT104" i="72" s="1"/>
  <c r="DT101" i="72"/>
  <c r="DT102" i="72" s="1"/>
  <c r="DT99" i="72"/>
  <c r="DT100" i="72" s="1"/>
  <c r="DT97" i="72"/>
  <c r="DT98" i="72" s="1"/>
  <c r="DT95" i="72"/>
  <c r="DT96" i="72" s="1"/>
  <c r="DT93" i="72"/>
  <c r="DT94" i="72" s="1"/>
  <c r="DT91" i="72"/>
  <c r="DT92" i="72" s="1"/>
  <c r="DT66" i="72"/>
  <c r="DP150" i="72"/>
  <c r="DP65" i="72"/>
  <c r="EB78" i="72" l="1"/>
  <c r="EB80" i="72" s="1"/>
  <c r="EB82" i="72" s="1"/>
  <c r="EB84" i="72" s="1"/>
  <c r="EB86" i="72" s="1"/>
  <c r="EB88" i="72" s="1"/>
  <c r="EB90" i="72" s="1"/>
  <c r="EB66" i="72"/>
  <c r="DU65" i="72"/>
  <c r="DS66" i="72"/>
  <c r="EC64" i="72"/>
  <c r="EA65" i="72" s="1"/>
  <c r="EC65" i="72" s="1"/>
  <c r="DU63" i="72"/>
  <c r="EC63" i="72"/>
  <c r="DX64" i="72"/>
  <c r="DY64" i="72" s="1"/>
  <c r="DY63" i="72"/>
  <c r="DX78" i="72"/>
  <c r="DX80" i="72" s="1"/>
  <c r="DX82" i="72" s="1"/>
  <c r="DX84" i="72" s="1"/>
  <c r="DX86" i="72" s="1"/>
  <c r="DX88" i="72" s="1"/>
  <c r="DX90" i="72" s="1"/>
  <c r="DX79" i="72"/>
  <c r="DX81" i="72" s="1"/>
  <c r="DX83" i="72" s="1"/>
  <c r="DX85" i="72" s="1"/>
  <c r="DX87" i="72" s="1"/>
  <c r="DX89" i="72" s="1"/>
  <c r="DU66" i="72"/>
  <c r="DQ64" i="72"/>
  <c r="DQ63" i="72"/>
  <c r="DP67" i="72"/>
  <c r="DP68" i="72" s="1"/>
  <c r="DP69" i="72" s="1"/>
  <c r="DP70" i="72" s="1"/>
  <c r="DP71" i="72" s="1"/>
  <c r="DP72" i="72" s="1"/>
  <c r="DP73" i="72" s="1"/>
  <c r="DP74" i="72" s="1"/>
  <c r="DP75" i="72" s="1"/>
  <c r="DP76" i="72" s="1"/>
  <c r="DP77" i="72" s="1"/>
  <c r="DP66" i="72"/>
  <c r="EA66" i="72" l="1"/>
  <c r="EC66" i="72" s="1"/>
  <c r="EA67" i="72" s="1"/>
  <c r="EC67" i="72" s="1"/>
  <c r="DW65" i="72"/>
  <c r="DS67" i="72"/>
  <c r="DO65" i="72"/>
  <c r="DP79" i="72"/>
  <c r="DP81" i="72" s="1"/>
  <c r="DP83" i="72" s="1"/>
  <c r="DP85" i="72" s="1"/>
  <c r="DP87" i="72" s="1"/>
  <c r="DP89" i="72" s="1"/>
  <c r="DP78" i="72"/>
  <c r="DP80" i="72" s="1"/>
  <c r="DP82" i="72" s="1"/>
  <c r="DP84" i="72" s="1"/>
  <c r="DP86" i="72" s="1"/>
  <c r="DP88" i="72" s="1"/>
  <c r="DP90" i="72" s="1"/>
  <c r="EA68" i="72" l="1"/>
  <c r="EC68" i="72" s="1"/>
  <c r="EA69" i="72" s="1"/>
  <c r="DW66" i="72"/>
  <c r="DY66" i="72" s="1"/>
  <c r="DY65" i="72"/>
  <c r="DS68" i="72"/>
  <c r="DU68" i="72" s="1"/>
  <c r="DU67" i="72"/>
  <c r="DO66" i="72"/>
  <c r="DQ66" i="72" s="1"/>
  <c r="DQ65" i="72"/>
  <c r="EA70" i="72" l="1"/>
  <c r="EC70" i="72" s="1"/>
  <c r="EC69" i="72"/>
  <c r="DW67" i="72"/>
  <c r="DS69" i="72"/>
  <c r="DO67" i="72"/>
  <c r="EA71" i="72" l="1"/>
  <c r="DW68" i="72"/>
  <c r="DY68" i="72" s="1"/>
  <c r="DY67" i="72"/>
  <c r="DU69" i="72"/>
  <c r="DS70" i="72"/>
  <c r="DU70" i="72" s="1"/>
  <c r="DO68" i="72"/>
  <c r="DQ68" i="72" s="1"/>
  <c r="DQ67" i="72"/>
  <c r="EC71" i="72" l="1"/>
  <c r="EA72" i="72"/>
  <c r="EC72" i="72" s="1"/>
  <c r="DW69" i="72"/>
  <c r="DS71" i="72"/>
  <c r="DO69" i="72"/>
  <c r="GZ63" i="72"/>
  <c r="GZ31" i="72"/>
  <c r="HA63" i="72" l="1"/>
  <c r="HA64" i="72" s="1"/>
  <c r="EA73" i="72"/>
  <c r="DY69" i="72"/>
  <c r="DW70" i="72"/>
  <c r="DY70" i="72" s="1"/>
  <c r="DU71" i="72"/>
  <c r="DS72" i="72"/>
  <c r="DU72" i="72" s="1"/>
  <c r="DO70" i="72"/>
  <c r="DQ70" i="72" s="1"/>
  <c r="DQ69" i="72"/>
  <c r="HA83" i="72"/>
  <c r="HA84" i="72" s="1"/>
  <c r="GZ64" i="72"/>
  <c r="HA65" i="72"/>
  <c r="HB64" i="72" l="1"/>
  <c r="GZ65" i="72" s="1"/>
  <c r="HB63" i="72"/>
  <c r="EA74" i="72"/>
  <c r="EC74" i="72" s="1"/>
  <c r="EC73" i="72"/>
  <c r="DW71" i="72"/>
  <c r="DS73" i="72"/>
  <c r="DO71" i="72"/>
  <c r="HA67" i="72"/>
  <c r="HA68" i="72" s="1"/>
  <c r="HA69" i="72" s="1"/>
  <c r="HA70" i="72" s="1"/>
  <c r="HA71" i="72" s="1"/>
  <c r="HA72" i="72" s="1"/>
  <c r="HA73" i="72" s="1"/>
  <c r="HA74" i="72" s="1"/>
  <c r="HA75" i="72" s="1"/>
  <c r="HA76" i="72" s="1"/>
  <c r="HA77" i="72" s="1"/>
  <c r="HA66" i="72"/>
  <c r="HB65" i="72"/>
  <c r="GZ66" i="72"/>
  <c r="EA75" i="72" l="1"/>
  <c r="DY71" i="72"/>
  <c r="DW72" i="72"/>
  <c r="DY72" i="72" s="1"/>
  <c r="DU73" i="72"/>
  <c r="DS74" i="72"/>
  <c r="DU74" i="72" s="1"/>
  <c r="DO72" i="72"/>
  <c r="DQ72" i="72" s="1"/>
  <c r="DQ71" i="72"/>
  <c r="HB66" i="72"/>
  <c r="GZ67" i="72" s="1"/>
  <c r="GZ68" i="72" s="1"/>
  <c r="HB68" i="72" s="1"/>
  <c r="HA79" i="72"/>
  <c r="HA81" i="72" s="1"/>
  <c r="HA78" i="72"/>
  <c r="HA80" i="72" s="1"/>
  <c r="HA82" i="72" s="1"/>
  <c r="EC75" i="72" l="1"/>
  <c r="EA76" i="72"/>
  <c r="EC76" i="72" s="1"/>
  <c r="DW73" i="72"/>
  <c r="DS75" i="72"/>
  <c r="DO73" i="72"/>
  <c r="HB67" i="72"/>
  <c r="GZ69" i="72"/>
  <c r="EA77" i="72" l="1"/>
  <c r="DY73" i="72"/>
  <c r="DW74" i="72"/>
  <c r="DY74" i="72" s="1"/>
  <c r="DU75" i="72"/>
  <c r="DS76" i="72"/>
  <c r="DU76" i="72" s="1"/>
  <c r="DO74" i="72"/>
  <c r="DQ74" i="72" s="1"/>
  <c r="DQ73" i="72"/>
  <c r="HB69" i="72"/>
  <c r="GZ70" i="72"/>
  <c r="HB70" i="72" s="1"/>
  <c r="EA78" i="72" l="1"/>
  <c r="EC78" i="72" s="1"/>
  <c r="EC77" i="72"/>
  <c r="DW75" i="72"/>
  <c r="DS77" i="72"/>
  <c r="DO75" i="72"/>
  <c r="GZ71" i="72"/>
  <c r="EA79" i="72" l="1"/>
  <c r="DY75" i="72"/>
  <c r="DW76" i="72"/>
  <c r="DY76" i="72" s="1"/>
  <c r="DS78" i="72"/>
  <c r="DU78" i="72" s="1"/>
  <c r="DU77" i="72"/>
  <c r="DO76" i="72"/>
  <c r="DQ76" i="72" s="1"/>
  <c r="DQ75" i="72"/>
  <c r="HB71" i="72"/>
  <c r="GZ72" i="72"/>
  <c r="HB72" i="72" s="1"/>
  <c r="EC79" i="72" l="1"/>
  <c r="EA80" i="72"/>
  <c r="EC80" i="72" s="1"/>
  <c r="DW77" i="72"/>
  <c r="DS79" i="72"/>
  <c r="DO77" i="72"/>
  <c r="GZ73" i="72"/>
  <c r="EA81" i="72" l="1"/>
  <c r="DY77" i="72"/>
  <c r="DW78" i="72"/>
  <c r="DY78" i="72" s="1"/>
  <c r="DS80" i="72"/>
  <c r="DU80" i="72" s="1"/>
  <c r="DU79" i="72"/>
  <c r="DO78" i="72"/>
  <c r="DQ78" i="72" s="1"/>
  <c r="DQ77" i="72"/>
  <c r="GZ74" i="72"/>
  <c r="HB74" i="72" s="1"/>
  <c r="HB73" i="72"/>
  <c r="EA82" i="72" l="1"/>
  <c r="EC82" i="72" s="1"/>
  <c r="EC81" i="72"/>
  <c r="DW79" i="72"/>
  <c r="DS81" i="72"/>
  <c r="DO79" i="72"/>
  <c r="GZ75" i="72"/>
  <c r="EA83" i="72" l="1"/>
  <c r="DY79" i="72"/>
  <c r="DW80" i="72"/>
  <c r="DY80" i="72" s="1"/>
  <c r="DS82" i="72"/>
  <c r="DU82" i="72" s="1"/>
  <c r="DU81" i="72"/>
  <c r="DO80" i="72"/>
  <c r="DQ80" i="72" s="1"/>
  <c r="DQ79" i="72"/>
  <c r="HB75" i="72"/>
  <c r="GZ76" i="72"/>
  <c r="HB76" i="72" s="1"/>
  <c r="EC83" i="72" l="1"/>
  <c r="EA84" i="72"/>
  <c r="EC84" i="72" s="1"/>
  <c r="DW81" i="72"/>
  <c r="DS83" i="72"/>
  <c r="DO81" i="72"/>
  <c r="GZ77" i="72"/>
  <c r="EA85" i="72" l="1"/>
  <c r="DY81" i="72"/>
  <c r="DW82" i="72"/>
  <c r="DY82" i="72" s="1"/>
  <c r="DS84" i="72"/>
  <c r="DU84" i="72" s="1"/>
  <c r="DU83" i="72"/>
  <c r="DO82" i="72"/>
  <c r="DQ82" i="72" s="1"/>
  <c r="DO83" i="72" s="1"/>
  <c r="DQ81" i="72"/>
  <c r="GZ78" i="72"/>
  <c r="HB78" i="72" s="1"/>
  <c r="HB77" i="72"/>
  <c r="DQ83" i="72" l="1"/>
  <c r="DO84" i="72"/>
  <c r="DQ84" i="72" s="1"/>
  <c r="DO85" i="72" s="1"/>
  <c r="EA86" i="72"/>
  <c r="EC86" i="72" s="1"/>
  <c r="EC85" i="72"/>
  <c r="DW83" i="72"/>
  <c r="DS85" i="72"/>
  <c r="GZ79" i="72"/>
  <c r="DO86" i="72" l="1"/>
  <c r="DQ86" i="72" s="1"/>
  <c r="DO87" i="72" s="1"/>
  <c r="DQ85" i="72"/>
  <c r="EA87" i="72"/>
  <c r="DY83" i="72"/>
  <c r="DW84" i="72"/>
  <c r="DY84" i="72" s="1"/>
  <c r="DU85" i="72"/>
  <c r="DS86" i="72"/>
  <c r="DU86" i="72" s="1"/>
  <c r="HB79" i="72"/>
  <c r="GZ80" i="72"/>
  <c r="HB80" i="72" s="1"/>
  <c r="DK61" i="72"/>
  <c r="DK62" i="72" s="1"/>
  <c r="DK31" i="72"/>
  <c r="DG61" i="72"/>
  <c r="DG31" i="72"/>
  <c r="DC61" i="72"/>
  <c r="CY61" i="72"/>
  <c r="DH65" i="72" l="1"/>
  <c r="DH66" i="72" s="1"/>
  <c r="DH69" i="72"/>
  <c r="DH61" i="72"/>
  <c r="DL63" i="72"/>
  <c r="DL64" i="72" s="1"/>
  <c r="DL61" i="72"/>
  <c r="DM61" i="72" s="1"/>
  <c r="DQ87" i="72"/>
  <c r="DO88" i="72"/>
  <c r="DQ88" i="72" s="1"/>
  <c r="DO89" i="72" s="1"/>
  <c r="EC87" i="72"/>
  <c r="EA88" i="72"/>
  <c r="EC88" i="72" s="1"/>
  <c r="DW85" i="72"/>
  <c r="DS87" i="72"/>
  <c r="DL65" i="72"/>
  <c r="DL66" i="72" s="1"/>
  <c r="GZ81" i="72"/>
  <c r="DL149" i="72"/>
  <c r="DL150" i="72" s="1"/>
  <c r="DL147" i="72"/>
  <c r="DL148" i="72" s="1"/>
  <c r="DL145" i="72"/>
  <c r="DL146" i="72" s="1"/>
  <c r="DL143" i="72"/>
  <c r="DL144" i="72" s="1"/>
  <c r="DL141" i="72"/>
  <c r="DL142" i="72" s="1"/>
  <c r="DL139" i="72"/>
  <c r="DL140" i="72" s="1"/>
  <c r="DL137" i="72"/>
  <c r="DL138" i="72" s="1"/>
  <c r="DL135" i="72"/>
  <c r="DL136" i="72" s="1"/>
  <c r="DL133" i="72"/>
  <c r="DL134" i="72" s="1"/>
  <c r="DL131" i="72"/>
  <c r="DL132" i="72" s="1"/>
  <c r="DL129" i="72"/>
  <c r="DL130" i="72" s="1"/>
  <c r="DL127" i="72"/>
  <c r="DL128" i="72" s="1"/>
  <c r="DL125" i="72"/>
  <c r="DL126" i="72" s="1"/>
  <c r="DL123" i="72"/>
  <c r="DL124" i="72" s="1"/>
  <c r="DL121" i="72"/>
  <c r="DL122" i="72" s="1"/>
  <c r="DL119" i="72"/>
  <c r="DL120" i="72" s="1"/>
  <c r="DL117" i="72"/>
  <c r="DL118" i="72" s="1"/>
  <c r="DL115" i="72"/>
  <c r="DL116" i="72" s="1"/>
  <c r="DL113" i="72"/>
  <c r="DL114" i="72" s="1"/>
  <c r="DL111" i="72"/>
  <c r="DL112" i="72" s="1"/>
  <c r="DL109" i="72"/>
  <c r="DL110" i="72" s="1"/>
  <c r="DL107" i="72"/>
  <c r="DL108" i="72" s="1"/>
  <c r="DL105" i="72"/>
  <c r="DL106" i="72" s="1"/>
  <c r="DL103" i="72"/>
  <c r="DL104" i="72" s="1"/>
  <c r="DL101" i="72"/>
  <c r="DL102" i="72" s="1"/>
  <c r="DL99" i="72"/>
  <c r="DL100" i="72" s="1"/>
  <c r="DL97" i="72"/>
  <c r="DL98" i="72" s="1"/>
  <c r="DL95" i="72"/>
  <c r="DL96" i="72" s="1"/>
  <c r="DL93" i="72"/>
  <c r="DL94" i="72" s="1"/>
  <c r="DL91" i="72"/>
  <c r="DL92" i="72" s="1"/>
  <c r="DL89" i="72"/>
  <c r="DL90" i="72" s="1"/>
  <c r="DL87" i="72"/>
  <c r="DL88" i="72" s="1"/>
  <c r="DL85" i="72"/>
  <c r="DL86" i="72" s="1"/>
  <c r="DL83" i="72"/>
  <c r="DL84" i="72" s="1"/>
  <c r="DL81" i="72"/>
  <c r="DL82" i="72" s="1"/>
  <c r="DL79" i="72"/>
  <c r="DL80" i="72" s="1"/>
  <c r="DL77" i="72"/>
  <c r="DL78" i="72" s="1"/>
  <c r="DL75" i="72"/>
  <c r="DL76" i="72" s="1"/>
  <c r="DL73" i="72"/>
  <c r="DL74" i="72" s="1"/>
  <c r="DL71" i="72"/>
  <c r="DL72" i="72" s="1"/>
  <c r="DL69" i="72"/>
  <c r="DL70" i="72" s="1"/>
  <c r="DL67" i="72"/>
  <c r="DL68" i="72" s="1"/>
  <c r="DH67" i="72"/>
  <c r="DH68" i="72" s="1"/>
  <c r="DH75" i="72"/>
  <c r="DH76" i="72" s="1"/>
  <c r="DH83" i="72"/>
  <c r="DH84" i="72" s="1"/>
  <c r="DH87" i="72"/>
  <c r="DH88" i="72" s="1"/>
  <c r="DH95" i="72"/>
  <c r="DH96" i="72" s="1"/>
  <c r="DH62" i="72"/>
  <c r="DH63" i="72"/>
  <c r="DH64" i="72" s="1"/>
  <c r="DH149" i="72"/>
  <c r="DH150" i="72" s="1"/>
  <c r="DH147" i="72"/>
  <c r="DH148" i="72" s="1"/>
  <c r="DH145" i="72"/>
  <c r="DH146" i="72" s="1"/>
  <c r="DH143" i="72"/>
  <c r="DH144" i="72" s="1"/>
  <c r="DH141" i="72"/>
  <c r="DH142" i="72" s="1"/>
  <c r="DH139" i="72"/>
  <c r="DH140" i="72" s="1"/>
  <c r="DH137" i="72"/>
  <c r="DH138" i="72" s="1"/>
  <c r="DH135" i="72"/>
  <c r="DH136" i="72" s="1"/>
  <c r="DH133" i="72"/>
  <c r="DH134" i="72" s="1"/>
  <c r="DH131" i="72"/>
  <c r="DH132" i="72" s="1"/>
  <c r="DH129" i="72"/>
  <c r="DH130" i="72" s="1"/>
  <c r="DH127" i="72"/>
  <c r="DH128" i="72" s="1"/>
  <c r="DH125" i="72"/>
  <c r="DH126" i="72" s="1"/>
  <c r="DH123" i="72"/>
  <c r="DH124" i="72" s="1"/>
  <c r="DH121" i="72"/>
  <c r="DH122" i="72" s="1"/>
  <c r="DH119" i="72"/>
  <c r="DH120" i="72" s="1"/>
  <c r="DH117" i="72"/>
  <c r="DH118" i="72" s="1"/>
  <c r="DH115" i="72"/>
  <c r="DH116" i="72" s="1"/>
  <c r="DH113" i="72"/>
  <c r="DH114" i="72" s="1"/>
  <c r="DH111" i="72"/>
  <c r="DH112" i="72" s="1"/>
  <c r="DH109" i="72"/>
  <c r="DH110" i="72" s="1"/>
  <c r="DH107" i="72"/>
  <c r="DH108" i="72" s="1"/>
  <c r="DH105" i="72"/>
  <c r="DH106" i="72" s="1"/>
  <c r="DH103" i="72"/>
  <c r="DH104" i="72" s="1"/>
  <c r="DH101" i="72"/>
  <c r="DH102" i="72" s="1"/>
  <c r="DH99" i="72"/>
  <c r="DH100" i="72" s="1"/>
  <c r="DH97" i="72"/>
  <c r="DH98" i="72" s="1"/>
  <c r="DG62" i="72"/>
  <c r="DH71" i="72"/>
  <c r="DH72" i="72" s="1"/>
  <c r="DH79" i="72"/>
  <c r="DH80" i="72" s="1"/>
  <c r="DH91" i="72"/>
  <c r="DH92" i="72" s="1"/>
  <c r="DH70" i="72"/>
  <c r="DH73" i="72"/>
  <c r="DH74" i="72" s="1"/>
  <c r="DH77" i="72"/>
  <c r="DH78" i="72" s="1"/>
  <c r="DH81" i="72"/>
  <c r="DH82" i="72" s="1"/>
  <c r="DH85" i="72"/>
  <c r="DH86" i="72" s="1"/>
  <c r="DH89" i="72"/>
  <c r="DH90" i="72" s="1"/>
  <c r="DH93" i="72"/>
  <c r="DH94" i="72" s="1"/>
  <c r="DC62" i="72"/>
  <c r="DC31" i="72"/>
  <c r="DD61" i="72" s="1"/>
  <c r="CY62" i="72"/>
  <c r="CY31" i="72"/>
  <c r="CZ61" i="72" s="1"/>
  <c r="DQ89" i="72" l="1"/>
  <c r="DO90" i="72"/>
  <c r="DQ90" i="72" s="1"/>
  <c r="DO91" i="72" s="1"/>
  <c r="EA89" i="72"/>
  <c r="DY85" i="72"/>
  <c r="DW86" i="72"/>
  <c r="DY86" i="72" s="1"/>
  <c r="DU87" i="72"/>
  <c r="DS88" i="72"/>
  <c r="DU88" i="72" s="1"/>
  <c r="GZ82" i="72"/>
  <c r="HB82" i="72" s="1"/>
  <c r="HB81" i="72"/>
  <c r="DL62" i="72"/>
  <c r="DM62" i="72" s="1"/>
  <c r="DK63" i="72" s="1"/>
  <c r="DK64" i="72" s="1"/>
  <c r="DM64" i="72" s="1"/>
  <c r="DK65" i="72" s="1"/>
  <c r="DI61" i="72"/>
  <c r="DI62" i="72"/>
  <c r="DG63" i="72" s="1"/>
  <c r="DD149" i="72"/>
  <c r="DD150" i="72" s="1"/>
  <c r="DD147" i="72"/>
  <c r="DD148" i="72" s="1"/>
  <c r="DD145" i="72"/>
  <c r="DD146" i="72" s="1"/>
  <c r="DD143" i="72"/>
  <c r="DD144" i="72" s="1"/>
  <c r="DD141" i="72"/>
  <c r="DD142" i="72" s="1"/>
  <c r="DD139" i="72"/>
  <c r="DD140" i="72" s="1"/>
  <c r="DD137" i="72"/>
  <c r="DD138" i="72" s="1"/>
  <c r="DD135" i="72"/>
  <c r="DD136" i="72" s="1"/>
  <c r="DD133" i="72"/>
  <c r="DD134" i="72" s="1"/>
  <c r="DD131" i="72"/>
  <c r="DD132" i="72" s="1"/>
  <c r="DD129" i="72"/>
  <c r="DD130" i="72" s="1"/>
  <c r="DD127" i="72"/>
  <c r="DD128" i="72" s="1"/>
  <c r="DD125" i="72"/>
  <c r="DD126" i="72" s="1"/>
  <c r="DD123" i="72"/>
  <c r="DD124" i="72" s="1"/>
  <c r="DD121" i="72"/>
  <c r="DD122" i="72" s="1"/>
  <c r="DD119" i="72"/>
  <c r="DD120" i="72" s="1"/>
  <c r="DD117" i="72"/>
  <c r="DD118" i="72" s="1"/>
  <c r="DD115" i="72"/>
  <c r="DD116" i="72" s="1"/>
  <c r="DD113" i="72"/>
  <c r="DD114" i="72" s="1"/>
  <c r="DD111" i="72"/>
  <c r="DD112" i="72" s="1"/>
  <c r="DD109" i="72"/>
  <c r="DD110" i="72" s="1"/>
  <c r="DD107" i="72"/>
  <c r="DD108" i="72" s="1"/>
  <c r="DD105" i="72"/>
  <c r="DD106" i="72" s="1"/>
  <c r="DD103" i="72"/>
  <c r="DD104" i="72" s="1"/>
  <c r="DD101" i="72"/>
  <c r="DD102" i="72" s="1"/>
  <c r="DD99" i="72"/>
  <c r="DD100" i="72" s="1"/>
  <c r="DD97" i="72"/>
  <c r="DD98" i="72" s="1"/>
  <c r="DD95" i="72"/>
  <c r="DD96" i="72" s="1"/>
  <c r="DD93" i="72"/>
  <c r="DD94" i="72" s="1"/>
  <c r="DD91" i="72"/>
  <c r="DD92" i="72" s="1"/>
  <c r="DD89" i="72"/>
  <c r="DD90" i="72" s="1"/>
  <c r="DD87" i="72"/>
  <c r="DD88" i="72" s="1"/>
  <c r="DD85" i="72"/>
  <c r="DD86" i="72" s="1"/>
  <c r="DD83" i="72"/>
  <c r="DD84" i="72" s="1"/>
  <c r="DD81" i="72"/>
  <c r="DD82" i="72" s="1"/>
  <c r="DD79" i="72"/>
  <c r="DD80" i="72" s="1"/>
  <c r="DD77" i="72"/>
  <c r="DD78" i="72" s="1"/>
  <c r="DD75" i="72"/>
  <c r="DD76" i="72" s="1"/>
  <c r="DD73" i="72"/>
  <c r="DD74" i="72" s="1"/>
  <c r="DD71" i="72"/>
  <c r="DD72" i="72" s="1"/>
  <c r="DD69" i="72"/>
  <c r="DD70" i="72" s="1"/>
  <c r="DD67" i="72"/>
  <c r="DD68" i="72" s="1"/>
  <c r="DD65" i="72"/>
  <c r="DD66" i="72" s="1"/>
  <c r="DD63" i="72"/>
  <c r="DD64" i="72" s="1"/>
  <c r="CZ149" i="72"/>
  <c r="CZ150" i="72" s="1"/>
  <c r="CZ147" i="72"/>
  <c r="CZ148" i="72" s="1"/>
  <c r="CZ145" i="72"/>
  <c r="CZ146" i="72" s="1"/>
  <c r="CZ143" i="72"/>
  <c r="CZ144" i="72" s="1"/>
  <c r="CZ141" i="72"/>
  <c r="CZ142" i="72" s="1"/>
  <c r="CZ139" i="72"/>
  <c r="CZ140" i="72" s="1"/>
  <c r="CZ137" i="72"/>
  <c r="CZ138" i="72" s="1"/>
  <c r="CZ135" i="72"/>
  <c r="CZ136" i="72" s="1"/>
  <c r="CZ133" i="72"/>
  <c r="CZ134" i="72" s="1"/>
  <c r="CZ131" i="72"/>
  <c r="CZ132" i="72" s="1"/>
  <c r="CZ129" i="72"/>
  <c r="CZ130" i="72" s="1"/>
  <c r="CZ127" i="72"/>
  <c r="CZ128" i="72" s="1"/>
  <c r="CZ125" i="72"/>
  <c r="CZ126" i="72" s="1"/>
  <c r="CZ123" i="72"/>
  <c r="CZ124" i="72" s="1"/>
  <c r="CZ121" i="72"/>
  <c r="CZ122" i="72" s="1"/>
  <c r="CZ119" i="72"/>
  <c r="CZ120" i="72" s="1"/>
  <c r="CZ117" i="72"/>
  <c r="CZ118" i="72" s="1"/>
  <c r="CZ115" i="72"/>
  <c r="CZ116" i="72" s="1"/>
  <c r="CZ113" i="72"/>
  <c r="CZ114" i="72" s="1"/>
  <c r="CZ111" i="72"/>
  <c r="CZ112" i="72" s="1"/>
  <c r="CZ109" i="72"/>
  <c r="CZ110" i="72" s="1"/>
  <c r="CZ107" i="72"/>
  <c r="CZ108" i="72" s="1"/>
  <c r="CZ105" i="72"/>
  <c r="CZ106" i="72" s="1"/>
  <c r="CZ103" i="72"/>
  <c r="CZ104" i="72" s="1"/>
  <c r="CZ101" i="72"/>
  <c r="CZ102" i="72" s="1"/>
  <c r="CZ99" i="72"/>
  <c r="CZ100" i="72" s="1"/>
  <c r="CZ97" i="72"/>
  <c r="CZ98" i="72" s="1"/>
  <c r="CZ95" i="72"/>
  <c r="CZ96" i="72" s="1"/>
  <c r="CZ93" i="72"/>
  <c r="CZ94" i="72" s="1"/>
  <c r="CZ91" i="72"/>
  <c r="CZ92" i="72" s="1"/>
  <c r="CZ89" i="72"/>
  <c r="CZ90" i="72" s="1"/>
  <c r="CZ87" i="72"/>
  <c r="CZ88" i="72" s="1"/>
  <c r="CZ85" i="72"/>
  <c r="CZ86" i="72" s="1"/>
  <c r="CZ83" i="72"/>
  <c r="CZ84" i="72" s="1"/>
  <c r="CZ81" i="72"/>
  <c r="CZ82" i="72" s="1"/>
  <c r="CZ79" i="72"/>
  <c r="CZ80" i="72" s="1"/>
  <c r="CZ77" i="72"/>
  <c r="CZ78" i="72" s="1"/>
  <c r="CZ75" i="72"/>
  <c r="CZ76" i="72" s="1"/>
  <c r="CZ73" i="72"/>
  <c r="CZ74" i="72" s="1"/>
  <c r="CZ71" i="72"/>
  <c r="CZ72" i="72" s="1"/>
  <c r="CZ69" i="72"/>
  <c r="CZ70" i="72" s="1"/>
  <c r="CZ67" i="72"/>
  <c r="CZ68" i="72" s="1"/>
  <c r="CZ65" i="72"/>
  <c r="CZ66" i="72" s="1"/>
  <c r="CZ63" i="72"/>
  <c r="CZ64" i="72" s="1"/>
  <c r="DM63" i="72" l="1"/>
  <c r="DO92" i="72"/>
  <c r="DQ92" i="72" s="1"/>
  <c r="DO93" i="72" s="1"/>
  <c r="DQ91" i="72"/>
  <c r="EA90" i="72"/>
  <c r="EC90" i="72" s="1"/>
  <c r="EC89" i="72"/>
  <c r="DW87" i="72"/>
  <c r="DS89" i="72"/>
  <c r="GZ83" i="72"/>
  <c r="DK66" i="72"/>
  <c r="DM66" i="72" s="1"/>
  <c r="DM65" i="72"/>
  <c r="DI63" i="72"/>
  <c r="DG64" i="72"/>
  <c r="DI64" i="72" s="1"/>
  <c r="DD62" i="72"/>
  <c r="DE62" i="72" s="1"/>
  <c r="DE61" i="72"/>
  <c r="CZ62" i="72"/>
  <c r="DA62" i="72" s="1"/>
  <c r="DA61" i="72"/>
  <c r="DQ93" i="72" l="1"/>
  <c r="DO94" i="72"/>
  <c r="DQ94" i="72" s="1"/>
  <c r="DO95" i="72" s="1"/>
  <c r="EA91" i="72"/>
  <c r="DY87" i="72"/>
  <c r="DW88" i="72"/>
  <c r="DY88" i="72" s="1"/>
  <c r="DU89" i="72"/>
  <c r="DS90" i="72"/>
  <c r="DU90" i="72" s="1"/>
  <c r="HB83" i="72"/>
  <c r="GZ84" i="72"/>
  <c r="HB84" i="72" s="1"/>
  <c r="DK67" i="72"/>
  <c r="DG65" i="72"/>
  <c r="DC63" i="72"/>
  <c r="CY63" i="72"/>
  <c r="IG30" i="72"/>
  <c r="IG61" i="72" s="1"/>
  <c r="IG62" i="72" s="1"/>
  <c r="IG28" i="72"/>
  <c r="IG29" i="72" s="1"/>
  <c r="H190" i="65"/>
  <c r="DO96" i="72" l="1"/>
  <c r="DQ96" i="72" s="1"/>
  <c r="DO97" i="72" s="1"/>
  <c r="DQ95" i="72"/>
  <c r="EC91" i="72"/>
  <c r="EA92" i="72"/>
  <c r="EC92" i="72" s="1"/>
  <c r="DW89" i="72"/>
  <c r="DS91" i="72"/>
  <c r="H192" i="65"/>
  <c r="DM67" i="72"/>
  <c r="DK68" i="72"/>
  <c r="DM68" i="72" s="1"/>
  <c r="DI65" i="72"/>
  <c r="DG66" i="72"/>
  <c r="DI66" i="72" s="1"/>
  <c r="DC64" i="72"/>
  <c r="DE64" i="72" s="1"/>
  <c r="DE63" i="72"/>
  <c r="CY64" i="72"/>
  <c r="DA64" i="72" s="1"/>
  <c r="DA63" i="72"/>
  <c r="IG31" i="72"/>
  <c r="IH61" i="72" s="1"/>
  <c r="IH62" i="72" s="1"/>
  <c r="H193" i="65" l="1"/>
  <c r="DO98" i="72"/>
  <c r="DQ98" i="72" s="1"/>
  <c r="DO99" i="72" s="1"/>
  <c r="DQ97" i="72"/>
  <c r="EA93" i="72"/>
  <c r="DY89" i="72"/>
  <c r="DW90" i="72"/>
  <c r="DY90" i="72" s="1"/>
  <c r="DU91" i="72"/>
  <c r="DS92" i="72"/>
  <c r="DU92" i="72" s="1"/>
  <c r="DK69" i="72"/>
  <c r="DG67" i="72"/>
  <c r="II61" i="72"/>
  <c r="II62" i="72" s="1"/>
  <c r="IJ62" i="72" s="1"/>
  <c r="DC65" i="72"/>
  <c r="CY65" i="72"/>
  <c r="H163" i="48" l="1"/>
  <c r="DO100" i="72"/>
  <c r="DQ100" i="72" s="1"/>
  <c r="DO101" i="72" s="1"/>
  <c r="DQ99" i="72"/>
  <c r="EA94" i="72"/>
  <c r="EC94" i="72" s="1"/>
  <c r="EC93" i="72"/>
  <c r="DW91" i="72"/>
  <c r="DS93" i="72"/>
  <c r="DM69" i="72"/>
  <c r="DK70" i="72"/>
  <c r="DM70" i="72" s="1"/>
  <c r="DG68" i="72"/>
  <c r="DI68" i="72" s="1"/>
  <c r="DI67" i="72"/>
  <c r="IJ61" i="72"/>
  <c r="DC66" i="72"/>
  <c r="DE66" i="72" s="1"/>
  <c r="DE65" i="72"/>
  <c r="CY66" i="72"/>
  <c r="DA66" i="72" s="1"/>
  <c r="DA65" i="72"/>
  <c r="I47" i="83" l="1"/>
  <c r="H96" i="48" s="1"/>
  <c r="DO102" i="72"/>
  <c r="DQ102" i="72" s="1"/>
  <c r="DO103" i="72" s="1"/>
  <c r="DQ101" i="72"/>
  <c r="EA95" i="72"/>
  <c r="DY91" i="72"/>
  <c r="DW92" i="72"/>
  <c r="DY92" i="72" s="1"/>
  <c r="DU93" i="72"/>
  <c r="DS94" i="72"/>
  <c r="DU94" i="72" s="1"/>
  <c r="DK71" i="72"/>
  <c r="DG69" i="72"/>
  <c r="DI69" i="72" s="1"/>
  <c r="DC67" i="72"/>
  <c r="CY67" i="72"/>
  <c r="DO104" i="72" l="1"/>
  <c r="DQ104" i="72" s="1"/>
  <c r="DO105" i="72" s="1"/>
  <c r="DQ103" i="72"/>
  <c r="EA96" i="72"/>
  <c r="EC96" i="72" s="1"/>
  <c r="EC95" i="72"/>
  <c r="DW93" i="72"/>
  <c r="DS95" i="72"/>
  <c r="DM71" i="72"/>
  <c r="DK72" i="72"/>
  <c r="DM72" i="72" s="1"/>
  <c r="DG70" i="72"/>
  <c r="DI70" i="72" s="1"/>
  <c r="DE67" i="72"/>
  <c r="DC68" i="72"/>
  <c r="DE68" i="72" s="1"/>
  <c r="DA67" i="72"/>
  <c r="CY68" i="72"/>
  <c r="DA68" i="72" s="1"/>
  <c r="GV61" i="72"/>
  <c r="GV62" i="72" s="1"/>
  <c r="GV31" i="72"/>
  <c r="GW63" i="72" l="1"/>
  <c r="GW61" i="72"/>
  <c r="DO106" i="72"/>
  <c r="DQ106" i="72" s="1"/>
  <c r="DO107" i="72" s="1"/>
  <c r="DQ105" i="72"/>
  <c r="EA97" i="72"/>
  <c r="DY93" i="72"/>
  <c r="DW94" i="72"/>
  <c r="DY94" i="72" s="1"/>
  <c r="DS96" i="72"/>
  <c r="DU96" i="72" s="1"/>
  <c r="DU95" i="72"/>
  <c r="GW81" i="72"/>
  <c r="GW82" i="72" s="1"/>
  <c r="GW62" i="72"/>
  <c r="DK73" i="72"/>
  <c r="DG71" i="72"/>
  <c r="DC69" i="72"/>
  <c r="CY69" i="72"/>
  <c r="GW64" i="72"/>
  <c r="DO108" i="72" l="1"/>
  <c r="DQ108" i="72" s="1"/>
  <c r="DO109" i="72" s="1"/>
  <c r="DQ107" i="72"/>
  <c r="EA98" i="72"/>
  <c r="EC98" i="72" s="1"/>
  <c r="EC97" i="72"/>
  <c r="DW95" i="72"/>
  <c r="DS97" i="72"/>
  <c r="DM73" i="72"/>
  <c r="DK74" i="72"/>
  <c r="DM74" i="72" s="1"/>
  <c r="DG72" i="72"/>
  <c r="DI72" i="72" s="1"/>
  <c r="DI71" i="72"/>
  <c r="DE69" i="72"/>
  <c r="DC70" i="72"/>
  <c r="DE70" i="72" s="1"/>
  <c r="DA69" i="72"/>
  <c r="CY70" i="72"/>
  <c r="DA70" i="72" s="1"/>
  <c r="GX62" i="72"/>
  <c r="GV63" i="72" s="1"/>
  <c r="GW65" i="72"/>
  <c r="GW66" i="72" s="1"/>
  <c r="GW67" i="72" s="1"/>
  <c r="GW68" i="72" s="1"/>
  <c r="GW69" i="72" s="1"/>
  <c r="GW70" i="72" s="1"/>
  <c r="GW71" i="72" s="1"/>
  <c r="GW72" i="72" s="1"/>
  <c r="GW73" i="72" s="1"/>
  <c r="GW74" i="72" s="1"/>
  <c r="GW75" i="72" s="1"/>
  <c r="GW77" i="72" s="1"/>
  <c r="GW79" i="72" s="1"/>
  <c r="GX61" i="72"/>
  <c r="DO110" i="72" l="1"/>
  <c r="DQ110" i="72" s="1"/>
  <c r="DO111" i="72" s="1"/>
  <c r="DQ109" i="72"/>
  <c r="EA99" i="72"/>
  <c r="DY95" i="72"/>
  <c r="DW96" i="72"/>
  <c r="DY96" i="72" s="1"/>
  <c r="DS98" i="72"/>
  <c r="DU98" i="72" s="1"/>
  <c r="DU97" i="72"/>
  <c r="DK75" i="72"/>
  <c r="DG73" i="72"/>
  <c r="DC71" i="72"/>
  <c r="CY71" i="72"/>
  <c r="GW76" i="72"/>
  <c r="GW78" i="72" s="1"/>
  <c r="GW80" i="72" s="1"/>
  <c r="GV64" i="72"/>
  <c r="GX64" i="72" s="1"/>
  <c r="GX63" i="72"/>
  <c r="DO112" i="72" l="1"/>
  <c r="DQ112" i="72" s="1"/>
  <c r="DO113" i="72" s="1"/>
  <c r="DQ111" i="72"/>
  <c r="EA100" i="72"/>
  <c r="EC100" i="72" s="1"/>
  <c r="EC99" i="72"/>
  <c r="DW97" i="72"/>
  <c r="DS99" i="72"/>
  <c r="DM75" i="72"/>
  <c r="DK76" i="72"/>
  <c r="DM76" i="72" s="1"/>
  <c r="DG74" i="72"/>
  <c r="DI74" i="72" s="1"/>
  <c r="DI73" i="72"/>
  <c r="DE71" i="72"/>
  <c r="DC72" i="72"/>
  <c r="DE72" i="72" s="1"/>
  <c r="DA71" i="72"/>
  <c r="CY72" i="72"/>
  <c r="DA72" i="72" s="1"/>
  <c r="GV65" i="72"/>
  <c r="DO114" i="72" l="1"/>
  <c r="DQ114" i="72" s="1"/>
  <c r="DO115" i="72" s="1"/>
  <c r="DQ113" i="72"/>
  <c r="EA101" i="72"/>
  <c r="DY97" i="72"/>
  <c r="DW98" i="72"/>
  <c r="DY98" i="72" s="1"/>
  <c r="DS100" i="72"/>
  <c r="DU100" i="72" s="1"/>
  <c r="DU99" i="72"/>
  <c r="DK77" i="72"/>
  <c r="DG75" i="72"/>
  <c r="DC73" i="72"/>
  <c r="CY73" i="72"/>
  <c r="GV66" i="72"/>
  <c r="GX66" i="72" s="1"/>
  <c r="GX65" i="72"/>
  <c r="DO116" i="72" l="1"/>
  <c r="DQ116" i="72" s="1"/>
  <c r="DO117" i="72" s="1"/>
  <c r="DQ115" i="72"/>
  <c r="EA102" i="72"/>
  <c r="EC102" i="72" s="1"/>
  <c r="EC101" i="72"/>
  <c r="DW99" i="72"/>
  <c r="DS101" i="72"/>
  <c r="DM77" i="72"/>
  <c r="DK78" i="72"/>
  <c r="DM78" i="72" s="1"/>
  <c r="DG76" i="72"/>
  <c r="DI76" i="72" s="1"/>
  <c r="DI75" i="72"/>
  <c r="DE73" i="72"/>
  <c r="DC74" i="72"/>
  <c r="DE74" i="72" s="1"/>
  <c r="DA73" i="72"/>
  <c r="CY74" i="72"/>
  <c r="DA74" i="72" s="1"/>
  <c r="GV67" i="72"/>
  <c r="DO118" i="72" l="1"/>
  <c r="DQ118" i="72" s="1"/>
  <c r="DO119" i="72" s="1"/>
  <c r="DQ117" i="72"/>
  <c r="EA103" i="72"/>
  <c r="DY99" i="72"/>
  <c r="DW100" i="72"/>
  <c r="DY100" i="72" s="1"/>
  <c r="DS102" i="72"/>
  <c r="DU102" i="72" s="1"/>
  <c r="DU101" i="72"/>
  <c r="DK79" i="72"/>
  <c r="DG77" i="72"/>
  <c r="DC75" i="72"/>
  <c r="CY75" i="72"/>
  <c r="GV68" i="72"/>
  <c r="GX68" i="72" s="1"/>
  <c r="GX67" i="72"/>
  <c r="DO120" i="72" l="1"/>
  <c r="DQ120" i="72" s="1"/>
  <c r="DO121" i="72" s="1"/>
  <c r="DQ119" i="72"/>
  <c r="EA104" i="72"/>
  <c r="EC104" i="72" s="1"/>
  <c r="EC103" i="72"/>
  <c r="DW101" i="72"/>
  <c r="DS103" i="72"/>
  <c r="DM79" i="72"/>
  <c r="DK80" i="72"/>
  <c r="DM80" i="72" s="1"/>
  <c r="DI77" i="72"/>
  <c r="DG78" i="72"/>
  <c r="DI78" i="72" s="1"/>
  <c r="DE75" i="72"/>
  <c r="DC76" i="72"/>
  <c r="DE76" i="72" s="1"/>
  <c r="DA75" i="72"/>
  <c r="CY76" i="72"/>
  <c r="DA76" i="72" s="1"/>
  <c r="GV69" i="72"/>
  <c r="DO122" i="72" l="1"/>
  <c r="DQ122" i="72" s="1"/>
  <c r="DO123" i="72" s="1"/>
  <c r="DQ121" i="72"/>
  <c r="EA105" i="72"/>
  <c r="DY101" i="72"/>
  <c r="DW102" i="72"/>
  <c r="DY102" i="72" s="1"/>
  <c r="DS104" i="72"/>
  <c r="DU104" i="72" s="1"/>
  <c r="DU103" i="72"/>
  <c r="DK81" i="72"/>
  <c r="DG79" i="72"/>
  <c r="DC77" i="72"/>
  <c r="CY77" i="72"/>
  <c r="GX69" i="72"/>
  <c r="GV70" i="72"/>
  <c r="GX70" i="72" s="1"/>
  <c r="DO124" i="72" l="1"/>
  <c r="DQ124" i="72" s="1"/>
  <c r="DO125" i="72" s="1"/>
  <c r="DQ123" i="72"/>
  <c r="EA106" i="72"/>
  <c r="EC106" i="72" s="1"/>
  <c r="EC105" i="72"/>
  <c r="DW103" i="72"/>
  <c r="DS105" i="72"/>
  <c r="DM81" i="72"/>
  <c r="DK82" i="72"/>
  <c r="DM82" i="72" s="1"/>
  <c r="DG80" i="72"/>
  <c r="DI80" i="72" s="1"/>
  <c r="DI79" i="72"/>
  <c r="DE77" i="72"/>
  <c r="DC78" i="72"/>
  <c r="DE78" i="72" s="1"/>
  <c r="DA77" i="72"/>
  <c r="CY78" i="72"/>
  <c r="DA78" i="72" s="1"/>
  <c r="GV71" i="72"/>
  <c r="DO126" i="72" l="1"/>
  <c r="DQ126" i="72" s="1"/>
  <c r="DO127" i="72" s="1"/>
  <c r="DQ125" i="72"/>
  <c r="EA107" i="72"/>
  <c r="DY103" i="72"/>
  <c r="DW104" i="72"/>
  <c r="DY104" i="72" s="1"/>
  <c r="DU105" i="72"/>
  <c r="DS106" i="72"/>
  <c r="DU106" i="72" s="1"/>
  <c r="DK83" i="72"/>
  <c r="DG81" i="72"/>
  <c r="DC79" i="72"/>
  <c r="CY79" i="72"/>
  <c r="GX71" i="72"/>
  <c r="GV72" i="72"/>
  <c r="GX72" i="72" s="1"/>
  <c r="DO128" i="72" l="1"/>
  <c r="DQ128" i="72" s="1"/>
  <c r="DO129" i="72" s="1"/>
  <c r="DQ127" i="72"/>
  <c r="EA108" i="72"/>
  <c r="EC108" i="72" s="1"/>
  <c r="EC107" i="72"/>
  <c r="DW105" i="72"/>
  <c r="DS107" i="72"/>
  <c r="DM83" i="72"/>
  <c r="DK84" i="72"/>
  <c r="DM84" i="72" s="1"/>
  <c r="DG82" i="72"/>
  <c r="DI82" i="72" s="1"/>
  <c r="DI81" i="72"/>
  <c r="DE79" i="72"/>
  <c r="DC80" i="72"/>
  <c r="DE80" i="72" s="1"/>
  <c r="DA79" i="72"/>
  <c r="CY80" i="72"/>
  <c r="DA80" i="72" s="1"/>
  <c r="GV73" i="72"/>
  <c r="DO130" i="72" l="1"/>
  <c r="DQ130" i="72" s="1"/>
  <c r="DO131" i="72" s="1"/>
  <c r="DQ129" i="72"/>
  <c r="EA109" i="72"/>
  <c r="DY105" i="72"/>
  <c r="DW106" i="72"/>
  <c r="DY106" i="72" s="1"/>
  <c r="DU107" i="72"/>
  <c r="DS108" i="72"/>
  <c r="DU108" i="72" s="1"/>
  <c r="DK85" i="72"/>
  <c r="DG83" i="72"/>
  <c r="DC81" i="72"/>
  <c r="CY81" i="72"/>
  <c r="GX73" i="72"/>
  <c r="GV74" i="72"/>
  <c r="GX74" i="72" s="1"/>
  <c r="DQ131" i="72" l="1"/>
  <c r="DO132" i="72"/>
  <c r="DQ132" i="72" s="1"/>
  <c r="DO133" i="72" s="1"/>
  <c r="EA110" i="72"/>
  <c r="EC110" i="72" s="1"/>
  <c r="EC109" i="72"/>
  <c r="DW107" i="72"/>
  <c r="DS109" i="72"/>
  <c r="DM85" i="72"/>
  <c r="DK86" i="72"/>
  <c r="DM86" i="72" s="1"/>
  <c r="DG84" i="72"/>
  <c r="DI84" i="72" s="1"/>
  <c r="DI83" i="72"/>
  <c r="DE81" i="72"/>
  <c r="DC82" i="72"/>
  <c r="DE82" i="72" s="1"/>
  <c r="DA81" i="72"/>
  <c r="CY82" i="72"/>
  <c r="DA82" i="72" s="1"/>
  <c r="GV75" i="72"/>
  <c r="I49" i="65"/>
  <c r="H190" i="48"/>
  <c r="H207" i="48"/>
  <c r="H49" i="65"/>
  <c r="D47" i="83" s="1"/>
  <c r="H55" i="48" s="1"/>
  <c r="H131" i="48"/>
  <c r="H136" i="48"/>
  <c r="H142" i="48" s="1"/>
  <c r="H115" i="48"/>
  <c r="H117" i="48" s="1"/>
  <c r="H151" i="48"/>
  <c r="H153" i="48" s="1"/>
  <c r="H218" i="48"/>
  <c r="H149" i="48"/>
  <c r="H162" i="48"/>
  <c r="H165" i="48"/>
  <c r="H166" i="48"/>
  <c r="H171" i="48"/>
  <c r="H172" i="48"/>
  <c r="E42" i="70"/>
  <c r="E33" i="70"/>
  <c r="E22" i="70"/>
  <c r="H234" i="48"/>
  <c r="J253" i="65" s="1"/>
  <c r="L253" i="65" s="1"/>
  <c r="H274" i="48"/>
  <c r="H282" i="48"/>
  <c r="I20" i="54"/>
  <c r="I34" i="54"/>
  <c r="I35" i="54"/>
  <c r="I36" i="54"/>
  <c r="I27" i="54"/>
  <c r="I40" i="54"/>
  <c r="I30" i="54"/>
  <c r="I50" i="54"/>
  <c r="I62" i="54"/>
  <c r="I63" i="54"/>
  <c r="I64" i="54"/>
  <c r="H305" i="48"/>
  <c r="I147" i="65"/>
  <c r="I150" i="65"/>
  <c r="I166" i="65"/>
  <c r="H197" i="48"/>
  <c r="H200" i="48" s="1"/>
  <c r="H210" i="48" s="1"/>
  <c r="G190" i="65"/>
  <c r="G192" i="65" s="1"/>
  <c r="G193" i="65" s="1"/>
  <c r="D8" i="71"/>
  <c r="D21" i="71" s="1"/>
  <c r="D33" i="71"/>
  <c r="O30" i="72"/>
  <c r="O31" i="72" s="1"/>
  <c r="G43" i="72"/>
  <c r="G31" i="72"/>
  <c r="C43" i="72"/>
  <c r="C44" i="72" s="1"/>
  <c r="C31" i="72"/>
  <c r="K30" i="72"/>
  <c r="K31" i="72" s="1"/>
  <c r="S30" i="72"/>
  <c r="W45" i="72"/>
  <c r="W46" i="72" s="1"/>
  <c r="W31" i="72"/>
  <c r="AA45" i="72"/>
  <c r="AA46" i="72" s="1"/>
  <c r="AA31" i="72"/>
  <c r="AE30" i="72"/>
  <c r="AE45" i="72" s="1"/>
  <c r="AE46" i="72" s="1"/>
  <c r="AI47" i="72"/>
  <c r="AI48" i="72" s="1"/>
  <c r="AI31" i="72"/>
  <c r="AJ47" i="72" s="1"/>
  <c r="AM47" i="72"/>
  <c r="AM48" i="72" s="1"/>
  <c r="AM31" i="72"/>
  <c r="AQ30" i="72"/>
  <c r="BS47" i="72"/>
  <c r="BS31" i="72"/>
  <c r="BW49" i="72"/>
  <c r="BW50" i="72" s="1"/>
  <c r="BW31" i="72"/>
  <c r="BX69" i="72" s="1"/>
  <c r="BX70" i="72" s="1"/>
  <c r="CA49" i="72"/>
  <c r="CA31" i="72"/>
  <c r="CE49" i="72"/>
  <c r="CE50" i="72" s="1"/>
  <c r="CE31" i="72"/>
  <c r="CF49" i="72" s="1"/>
  <c r="CI51" i="72"/>
  <c r="CI31" i="72"/>
  <c r="CM30" i="72"/>
  <c r="CQ30" i="72"/>
  <c r="CU59" i="72"/>
  <c r="CU60" i="72" s="1"/>
  <c r="CU31" i="72"/>
  <c r="H65" i="72"/>
  <c r="H66" i="72" s="1"/>
  <c r="AB65" i="72"/>
  <c r="AB66" i="72" s="1"/>
  <c r="AB69" i="72"/>
  <c r="AB70" i="72" s="1"/>
  <c r="AJ71" i="72"/>
  <c r="AJ72" i="72" s="1"/>
  <c r="AB73" i="72"/>
  <c r="AB74" i="72" s="1"/>
  <c r="D75" i="72"/>
  <c r="D76" i="72" s="1"/>
  <c r="AB75" i="72"/>
  <c r="AB76" i="72" s="1"/>
  <c r="AJ79" i="72"/>
  <c r="AJ80" i="72" s="1"/>
  <c r="H81" i="72"/>
  <c r="H82" i="72" s="1"/>
  <c r="AB85" i="72"/>
  <c r="AB86" i="72" s="1"/>
  <c r="AJ87" i="72"/>
  <c r="AJ88" i="72" s="1"/>
  <c r="CV87" i="72"/>
  <c r="CV88" i="72" s="1"/>
  <c r="CB91" i="72"/>
  <c r="CB92" i="72" s="1"/>
  <c r="D97" i="72"/>
  <c r="D98" i="72" s="1"/>
  <c r="AB97" i="72"/>
  <c r="AB98" i="72" s="1"/>
  <c r="L101" i="72"/>
  <c r="L102" i="72" s="1"/>
  <c r="AJ105" i="72"/>
  <c r="AJ106" i="72" s="1"/>
  <c r="AJ111" i="72"/>
  <c r="AJ112" i="72" s="1"/>
  <c r="BX111" i="72"/>
  <c r="BX112" i="72" s="1"/>
  <c r="AJ113" i="72"/>
  <c r="AJ114" i="72" s="1"/>
  <c r="CB113" i="72"/>
  <c r="CB114" i="72" s="1"/>
  <c r="AJ117" i="72"/>
  <c r="AJ118" i="72" s="1"/>
  <c r="AJ119" i="72"/>
  <c r="AJ120" i="72" s="1"/>
  <c r="AB121" i="72"/>
  <c r="AB122" i="72" s="1"/>
  <c r="AJ121" i="72"/>
  <c r="AJ122" i="72" s="1"/>
  <c r="AJ123" i="72"/>
  <c r="AJ124" i="72" s="1"/>
  <c r="CV123" i="72"/>
  <c r="CV124" i="72" s="1"/>
  <c r="AB125" i="72"/>
  <c r="AB126" i="72" s="1"/>
  <c r="AJ125" i="72"/>
  <c r="AJ126" i="72" s="1"/>
  <c r="AB127" i="72"/>
  <c r="AB128" i="72" s="1"/>
  <c r="AJ131" i="72"/>
  <c r="AJ132" i="72" s="1"/>
  <c r="AJ133" i="72"/>
  <c r="AJ134" i="72" s="1"/>
  <c r="CB133" i="72"/>
  <c r="CB134" i="72" s="1"/>
  <c r="CV23" i="72"/>
  <c r="CW23" i="72" s="1"/>
  <c r="CX23" i="72" s="1"/>
  <c r="GR59" i="72"/>
  <c r="GR60" i="72" s="1"/>
  <c r="GR31" i="72"/>
  <c r="GS59" i="72" s="1"/>
  <c r="GN57" i="72"/>
  <c r="GN58" i="72" s="1"/>
  <c r="GN31" i="72"/>
  <c r="GO77" i="72" s="1"/>
  <c r="GO78" i="72" s="1"/>
  <c r="GJ57" i="72"/>
  <c r="GJ31" i="72"/>
  <c r="GK57" i="72" s="1"/>
  <c r="GF57" i="72"/>
  <c r="GF31" i="72"/>
  <c r="GB57" i="72"/>
  <c r="GB58" i="72" s="1"/>
  <c r="GB31" i="72"/>
  <c r="GC57" i="72" s="1"/>
  <c r="FP55" i="72"/>
  <c r="FP31" i="72"/>
  <c r="FH55" i="72"/>
  <c r="FH56" i="72" s="1"/>
  <c r="FH31" i="72"/>
  <c r="FI55" i="72" s="1"/>
  <c r="FT57" i="72"/>
  <c r="FT58" i="72" s="1"/>
  <c r="FX57" i="72"/>
  <c r="HY31" i="72"/>
  <c r="HY29" i="72"/>
  <c r="HY28" i="72"/>
  <c r="FX31" i="72"/>
  <c r="FY57" i="72" s="1"/>
  <c r="FT31" i="72"/>
  <c r="FU57" i="72" s="1"/>
  <c r="FL55" i="72"/>
  <c r="FL56" i="72" s="1"/>
  <c r="FL31" i="72"/>
  <c r="FM55" i="72" s="1"/>
  <c r="FD55" i="72"/>
  <c r="BO45" i="72"/>
  <c r="BO46" i="72" s="1"/>
  <c r="BK45" i="72"/>
  <c r="BK46" i="72" s="1"/>
  <c r="BG43" i="72"/>
  <c r="BG44" i="72" s="1"/>
  <c r="BC43" i="72"/>
  <c r="BC44" i="72" s="1"/>
  <c r="AY41" i="72"/>
  <c r="AU41" i="72"/>
  <c r="AU42" i="72" s="1"/>
  <c r="B40" i="72"/>
  <c r="B42" i="72" s="1"/>
  <c r="B44" i="72" s="1"/>
  <c r="B46" i="72" s="1"/>
  <c r="B48" i="72" s="1"/>
  <c r="B50" i="72" s="1"/>
  <c r="B52" i="72" s="1"/>
  <c r="B54" i="72" s="1"/>
  <c r="B56" i="72" s="1"/>
  <c r="B58" i="72" s="1"/>
  <c r="B60" i="72" s="1"/>
  <c r="B62" i="72" s="1"/>
  <c r="B64" i="72" s="1"/>
  <c r="B66" i="72" s="1"/>
  <c r="B68" i="72" s="1"/>
  <c r="B70" i="72" s="1"/>
  <c r="B72" i="72" s="1"/>
  <c r="B39" i="72"/>
  <c r="B41" i="72" s="1"/>
  <c r="B43" i="72" s="1"/>
  <c r="B45" i="72" s="1"/>
  <c r="B47" i="72" s="1"/>
  <c r="B49" i="72" s="1"/>
  <c r="B51" i="72" s="1"/>
  <c r="B53" i="72" s="1"/>
  <c r="B55" i="72" s="1"/>
  <c r="B57" i="72" s="1"/>
  <c r="B59" i="72" s="1"/>
  <c r="B61" i="72" s="1"/>
  <c r="B63" i="72" s="1"/>
  <c r="B65" i="72" s="1"/>
  <c r="B67" i="72" s="1"/>
  <c r="B69" i="72" s="1"/>
  <c r="B71" i="72" s="1"/>
  <c r="FD31" i="72"/>
  <c r="FE55" i="72" s="1"/>
  <c r="BO31" i="72"/>
  <c r="BP51" i="72" s="1"/>
  <c r="BP52" i="72" s="1"/>
  <c r="BK31" i="72"/>
  <c r="BL63" i="72" s="1"/>
  <c r="BL64" i="72" s="1"/>
  <c r="BG31" i="72"/>
  <c r="BH71" i="72" s="1"/>
  <c r="BH72" i="72" s="1"/>
  <c r="BC31" i="72"/>
  <c r="AY31" i="72"/>
  <c r="AU31" i="72"/>
  <c r="AV43" i="72" s="1"/>
  <c r="AV44" i="72" s="1"/>
  <c r="BO29" i="72"/>
  <c r="BK29" i="72"/>
  <c r="BG29" i="72"/>
  <c r="BC29" i="72"/>
  <c r="AY29" i="72"/>
  <c r="AU29" i="72"/>
  <c r="BO28" i="72"/>
  <c r="BK28" i="72"/>
  <c r="BG28" i="72"/>
  <c r="BC28" i="72"/>
  <c r="AY28" i="72"/>
  <c r="AU28" i="72"/>
  <c r="CJ23" i="72"/>
  <c r="CK23" i="72" s="1"/>
  <c r="CL23" i="72" s="1"/>
  <c r="CF23" i="72"/>
  <c r="CG23" i="72" s="1"/>
  <c r="CH23" i="72" s="1"/>
  <c r="BT23" i="72"/>
  <c r="BU23" i="72" s="1"/>
  <c r="BV23" i="72" s="1"/>
  <c r="BP23" i="72"/>
  <c r="BQ23" i="72" s="1"/>
  <c r="BR23" i="72" s="1"/>
  <c r="BL23" i="72"/>
  <c r="BM23" i="72" s="1"/>
  <c r="BN23" i="72" s="1"/>
  <c r="BH23" i="72"/>
  <c r="BI23" i="72" s="1"/>
  <c r="BJ23" i="72" s="1"/>
  <c r="BD23" i="72"/>
  <c r="BE23" i="72" s="1"/>
  <c r="BF23" i="72" s="1"/>
  <c r="AZ23" i="72"/>
  <c r="BA23" i="72" s="1"/>
  <c r="BB23" i="72" s="1"/>
  <c r="AV23" i="72"/>
  <c r="AW23" i="72" s="1"/>
  <c r="AX23" i="72" s="1"/>
  <c r="P23" i="72"/>
  <c r="Q23" i="72" s="1"/>
  <c r="R23" i="72" s="1"/>
  <c r="AZ49" i="72"/>
  <c r="AZ50" i="72" s="1"/>
  <c r="H77" i="65"/>
  <c r="F263" i="64"/>
  <c r="F193" i="65"/>
  <c r="F91" i="64"/>
  <c r="F86" i="64"/>
  <c r="F84" i="64"/>
  <c r="I24" i="54"/>
  <c r="G236" i="65"/>
  <c r="G36" i="68"/>
  <c r="G37" i="68" s="1"/>
  <c r="G38" i="68" s="1"/>
  <c r="G39" i="68" s="1"/>
  <c r="G40" i="68" s="1"/>
  <c r="G41" i="68" s="1"/>
  <c r="G42" i="68" s="1"/>
  <c r="G43" i="68" s="1"/>
  <c r="G44" i="68" s="1"/>
  <c r="G45" i="68" s="1"/>
  <c r="G46" i="68" s="1"/>
  <c r="G47" i="68" s="1"/>
  <c r="G51" i="68" s="1"/>
  <c r="G52" i="68" s="1"/>
  <c r="G53" i="68" s="1"/>
  <c r="G54" i="68" s="1"/>
  <c r="G55" i="68" s="1"/>
  <c r="G56" i="68" s="1"/>
  <c r="G57" i="68" s="1"/>
  <c r="G58" i="68" s="1"/>
  <c r="G59" i="68" s="1"/>
  <c r="G60" i="68" s="1"/>
  <c r="G61" i="68" s="1"/>
  <c r="G62" i="68" s="1"/>
  <c r="E82" i="65"/>
  <c r="C82" i="65"/>
  <c r="D11" i="54"/>
  <c r="H37" i="68"/>
  <c r="H38" i="68" s="1"/>
  <c r="H39" i="68" s="1"/>
  <c r="H40" i="68" s="1"/>
  <c r="H41" i="68" s="1"/>
  <c r="H42" i="68" s="1"/>
  <c r="H43" i="68" s="1"/>
  <c r="H44" i="68" s="1"/>
  <c r="H45" i="68" s="1"/>
  <c r="H46" i="68" s="1"/>
  <c r="H47" i="68" s="1"/>
  <c r="C166" i="65"/>
  <c r="C165" i="65"/>
  <c r="E56" i="64"/>
  <c r="E40" i="64"/>
  <c r="E17" i="65" s="1"/>
  <c r="E17" i="64"/>
  <c r="E55" i="65" s="1"/>
  <c r="B15" i="70"/>
  <c r="B16" i="70"/>
  <c r="B17" i="70" s="1"/>
  <c r="B18" i="70" s="1"/>
  <c r="B19" i="70" s="1"/>
  <c r="B28" i="70" s="1"/>
  <c r="B29" i="70" s="1"/>
  <c r="B38" i="70" s="1"/>
  <c r="B39" i="70" s="1"/>
  <c r="B50" i="70" s="1"/>
  <c r="B51" i="70" s="1"/>
  <c r="B52" i="70" s="1"/>
  <c r="B53" i="70" s="1"/>
  <c r="B54" i="70" s="1"/>
  <c r="B55" i="70" s="1"/>
  <c r="B56" i="70" s="1"/>
  <c r="B57" i="70" s="1"/>
  <c r="B58" i="70" s="1"/>
  <c r="B59" i="70" s="1"/>
  <c r="B61" i="70" s="1"/>
  <c r="A1" i="70"/>
  <c r="A12" i="71"/>
  <c r="A13" i="71"/>
  <c r="A14" i="71" s="1"/>
  <c r="A15" i="71" s="1"/>
  <c r="A16" i="71" s="1"/>
  <c r="A17" i="71" s="1"/>
  <c r="A18" i="71" s="1"/>
  <c r="A19" i="71" s="1"/>
  <c r="A21" i="71" s="1"/>
  <c r="A1" i="71"/>
  <c r="A1" i="54"/>
  <c r="E192" i="64"/>
  <c r="G151" i="65"/>
  <c r="C218" i="65"/>
  <c r="B217" i="65"/>
  <c r="A215" i="65"/>
  <c r="F115" i="65"/>
  <c r="C115" i="65"/>
  <c r="G113" i="65" s="1"/>
  <c r="F132" i="65"/>
  <c r="C132" i="65"/>
  <c r="G130" i="65" s="1"/>
  <c r="C137" i="65"/>
  <c r="D125" i="65"/>
  <c r="G121" i="65"/>
  <c r="G108" i="65"/>
  <c r="C26" i="65"/>
  <c r="F26" i="65"/>
  <c r="G52" i="65"/>
  <c r="G75" i="65" s="1"/>
  <c r="G80" i="65" s="1"/>
  <c r="G1" i="65"/>
  <c r="E115" i="65"/>
  <c r="E132" i="65"/>
  <c r="E26" i="65"/>
  <c r="F16" i="64"/>
  <c r="C16" i="64"/>
  <c r="C54" i="65" s="1"/>
  <c r="F52" i="64"/>
  <c r="C52" i="64"/>
  <c r="C61" i="65" s="1"/>
  <c r="C40" i="64"/>
  <c r="C59" i="65" s="1"/>
  <c r="C38" i="64"/>
  <c r="C58" i="65" s="1"/>
  <c r="F37" i="64"/>
  <c r="C37" i="64"/>
  <c r="C57" i="65" s="1"/>
  <c r="C17" i="64"/>
  <c r="C55" i="65" s="1"/>
  <c r="B36" i="64"/>
  <c r="B56" i="65" s="1"/>
  <c r="B15" i="64"/>
  <c r="B53" i="65" s="1"/>
  <c r="F45" i="64"/>
  <c r="F40" i="65" s="1"/>
  <c r="C45" i="64"/>
  <c r="C40" i="65" s="1"/>
  <c r="F272" i="64"/>
  <c r="F230" i="65" s="1"/>
  <c r="F247" i="64"/>
  <c r="F390" i="64" s="1"/>
  <c r="F94" i="64"/>
  <c r="F173" i="65" s="1"/>
  <c r="C123" i="64"/>
  <c r="C108" i="65" s="1"/>
  <c r="F123" i="64"/>
  <c r="F108" i="65" s="1"/>
  <c r="C205" i="64"/>
  <c r="C102" i="65" s="1"/>
  <c r="C127" i="64"/>
  <c r="C95" i="65" s="1"/>
  <c r="F127" i="64"/>
  <c r="F95" i="65" s="1"/>
  <c r="B121" i="64"/>
  <c r="B94" i="65" s="1"/>
  <c r="C122" i="64"/>
  <c r="C89" i="65" s="1"/>
  <c r="F122" i="64"/>
  <c r="F89" i="65" s="1"/>
  <c r="C114" i="64"/>
  <c r="C87" i="65" s="1"/>
  <c r="F114" i="64"/>
  <c r="F87" i="65" s="1"/>
  <c r="B110" i="64"/>
  <c r="B86" i="65" s="1"/>
  <c r="C116" i="64"/>
  <c r="C77" i="65" s="1"/>
  <c r="F116" i="64"/>
  <c r="F77" i="65" s="1"/>
  <c r="C145" i="64"/>
  <c r="C34" i="65" s="1"/>
  <c r="F145" i="64"/>
  <c r="C146" i="64"/>
  <c r="C35" i="65" s="1"/>
  <c r="F146" i="64"/>
  <c r="C140" i="64"/>
  <c r="C32" i="65" s="1"/>
  <c r="F140" i="64"/>
  <c r="C111" i="64"/>
  <c r="C27" i="65" s="1"/>
  <c r="C82" i="64"/>
  <c r="C23" i="65" s="1"/>
  <c r="F82" i="64"/>
  <c r="F23" i="65" s="1"/>
  <c r="C56" i="64"/>
  <c r="C21" i="64"/>
  <c r="C11" i="65" s="1"/>
  <c r="F21" i="64"/>
  <c r="C22" i="64"/>
  <c r="C12" i="65" s="1"/>
  <c r="F22" i="64"/>
  <c r="F12" i="65" s="1"/>
  <c r="C23" i="64"/>
  <c r="C13" i="65" s="1"/>
  <c r="F23" i="64"/>
  <c r="C247" i="64"/>
  <c r="C272" i="64"/>
  <c r="C230" i="65" s="1"/>
  <c r="G228" i="65" s="1"/>
  <c r="C94" i="64"/>
  <c r="C173" i="65" s="1"/>
  <c r="G171" i="65" s="1"/>
  <c r="E16" i="64"/>
  <c r="E54" i="65" s="1"/>
  <c r="E52" i="64"/>
  <c r="E61" i="65" s="1"/>
  <c r="E37" i="64"/>
  <c r="E57" i="65" s="1"/>
  <c r="E45" i="64"/>
  <c r="E40" i="65" s="1"/>
  <c r="E247" i="64"/>
  <c r="E207" i="65" s="1"/>
  <c r="E123" i="64"/>
  <c r="E108" i="65" s="1"/>
  <c r="E205" i="64"/>
  <c r="E102" i="65" s="1"/>
  <c r="E127" i="64"/>
  <c r="E95" i="65" s="1"/>
  <c r="E122" i="64"/>
  <c r="E89" i="65" s="1"/>
  <c r="E114" i="64"/>
  <c r="E87" i="65" s="1"/>
  <c r="E116" i="64"/>
  <c r="E77" i="65" s="1"/>
  <c r="E145" i="64"/>
  <c r="E34" i="65" s="1"/>
  <c r="E146" i="64"/>
  <c r="E35" i="65" s="1"/>
  <c r="E140" i="64"/>
  <c r="E32" i="65" s="1"/>
  <c r="E111" i="64"/>
  <c r="E27" i="65" s="1"/>
  <c r="E82" i="64"/>
  <c r="E23" i="65" s="1"/>
  <c r="C55" i="64"/>
  <c r="E21" i="64"/>
  <c r="E11" i="65" s="1"/>
  <c r="E22" i="64"/>
  <c r="E12" i="65" s="1"/>
  <c r="E23" i="64"/>
  <c r="E13" i="65" s="1"/>
  <c r="F40" i="64"/>
  <c r="E55" i="64"/>
  <c r="E38" i="64"/>
  <c r="E58" i="65" s="1"/>
  <c r="F205" i="64"/>
  <c r="F102" i="65" s="1"/>
  <c r="E272" i="64"/>
  <c r="E230" i="65" s="1"/>
  <c r="A1" i="73"/>
  <c r="G30" i="68"/>
  <c r="D62" i="68"/>
  <c r="D61" i="68"/>
  <c r="D60" i="68"/>
  <c r="D59" i="68"/>
  <c r="D58" i="68"/>
  <c r="D57" i="68"/>
  <c r="D56" i="68"/>
  <c r="D55" i="68"/>
  <c r="D54" i="68"/>
  <c r="D53" i="68"/>
  <c r="D52" i="68"/>
  <c r="D51" i="68"/>
  <c r="A1" i="68"/>
  <c r="C17" i="72"/>
  <c r="C12" i="72"/>
  <c r="C11" i="72"/>
  <c r="A1" i="72"/>
  <c r="C18" i="53"/>
  <c r="C14" i="53"/>
  <c r="B14" i="53"/>
  <c r="A1" i="53"/>
  <c r="A8" i="64"/>
  <c r="F42" i="64"/>
  <c r="C54" i="64"/>
  <c r="C58" i="64"/>
  <c r="F58" i="64"/>
  <c r="F83" i="64"/>
  <c r="F118" i="64"/>
  <c r="F148" i="64"/>
  <c r="C238" i="64"/>
  <c r="C263" i="64"/>
  <c r="E211" i="64"/>
  <c r="C252" i="64"/>
  <c r="E77" i="64"/>
  <c r="C32" i="55"/>
  <c r="C33" i="55" s="1"/>
  <c r="C28" i="55"/>
  <c r="D62" i="55" s="1"/>
  <c r="D63" i="55" s="1"/>
  <c r="K34" i="55"/>
  <c r="K35" i="55" s="1"/>
  <c r="K28" i="55"/>
  <c r="L42" i="55" s="1"/>
  <c r="L43" i="55" s="1"/>
  <c r="G34" i="55"/>
  <c r="G35" i="55" s="1"/>
  <c r="G28" i="55"/>
  <c r="H62" i="55" s="1"/>
  <c r="H63" i="55" s="1"/>
  <c r="AI28" i="55"/>
  <c r="AJ40" i="55" s="1"/>
  <c r="AJ41" i="55" s="1"/>
  <c r="AE28" i="55"/>
  <c r="AF42" i="55" s="1"/>
  <c r="AF43" i="55" s="1"/>
  <c r="AA28" i="55"/>
  <c r="AB38" i="55" s="1"/>
  <c r="W28" i="55"/>
  <c r="X46" i="55" s="1"/>
  <c r="X47" i="55" s="1"/>
  <c r="S28" i="55"/>
  <c r="T40" i="55" s="1"/>
  <c r="T41" i="55" s="1"/>
  <c r="O28" i="55"/>
  <c r="P60" i="55" s="1"/>
  <c r="P61" i="55" s="1"/>
  <c r="C16" i="55"/>
  <c r="C11" i="55"/>
  <c r="C10" i="55"/>
  <c r="S36" i="55"/>
  <c r="S37" i="55" s="1"/>
  <c r="O36" i="55"/>
  <c r="O37" i="55" s="1"/>
  <c r="AA38" i="55"/>
  <c r="AA39" i="55" s="1"/>
  <c r="W38" i="55"/>
  <c r="W39" i="55"/>
  <c r="AI40" i="55"/>
  <c r="AI41" i="55" s="1"/>
  <c r="AK41" i="55" s="1"/>
  <c r="AI42" i="55" s="1"/>
  <c r="AE40" i="55"/>
  <c r="AE41" i="55" s="1"/>
  <c r="AO72" i="55"/>
  <c r="AN73" i="55"/>
  <c r="AJ21" i="55"/>
  <c r="AK21" i="55" s="1"/>
  <c r="AL21" i="55" s="1"/>
  <c r="AF21" i="55"/>
  <c r="AG21" i="55" s="1"/>
  <c r="AH21" i="55" s="1"/>
  <c r="AB21" i="55"/>
  <c r="AC21" i="55" s="1"/>
  <c r="AD21" i="55" s="1"/>
  <c r="X21" i="55"/>
  <c r="Y21" i="55" s="1"/>
  <c r="Z21" i="55" s="1"/>
  <c r="T21" i="55"/>
  <c r="U21" i="55" s="1"/>
  <c r="V21" i="55" s="1"/>
  <c r="P21" i="55"/>
  <c r="Q21" i="55" s="1"/>
  <c r="R21" i="55" s="1"/>
  <c r="L21" i="55"/>
  <c r="M21" i="55" s="1"/>
  <c r="N21" i="55" s="1"/>
  <c r="D21" i="55"/>
  <c r="E21" i="55" s="1"/>
  <c r="F21" i="55" s="1"/>
  <c r="B35" i="55"/>
  <c r="B37" i="55" s="1"/>
  <c r="B39" i="55" s="1"/>
  <c r="B41" i="55" s="1"/>
  <c r="B43" i="55" s="1"/>
  <c r="B45" i="55" s="1"/>
  <c r="B47" i="55" s="1"/>
  <c r="B49" i="55" s="1"/>
  <c r="B51" i="55" s="1"/>
  <c r="B53" i="55" s="1"/>
  <c r="B55" i="55" s="1"/>
  <c r="B57" i="55" s="1"/>
  <c r="B59" i="55" s="1"/>
  <c r="B61" i="55" s="1"/>
  <c r="B63" i="55" s="1"/>
  <c r="B65" i="55" s="1"/>
  <c r="B67" i="55" s="1"/>
  <c r="B69" i="55" s="1"/>
  <c r="B71" i="55" s="1"/>
  <c r="B34" i="55"/>
  <c r="B36" i="55" s="1"/>
  <c r="B38" i="55" s="1"/>
  <c r="B40" i="55" s="1"/>
  <c r="B42" i="55" s="1"/>
  <c r="B44" i="55" s="1"/>
  <c r="B46" i="55" s="1"/>
  <c r="B48" i="55" s="1"/>
  <c r="B50" i="55" s="1"/>
  <c r="B52" i="55" s="1"/>
  <c r="B54" i="55" s="1"/>
  <c r="B56" i="55" s="1"/>
  <c r="B58" i="55" s="1"/>
  <c r="B60" i="55" s="1"/>
  <c r="B62" i="55" s="1"/>
  <c r="B64" i="55" s="1"/>
  <c r="B66" i="55" s="1"/>
  <c r="B68" i="55" s="1"/>
  <c r="B70" i="55" s="1"/>
  <c r="L16" i="55"/>
  <c r="L10" i="55"/>
  <c r="O25" i="55" s="1"/>
  <c r="L11" i="55"/>
  <c r="F111" i="64"/>
  <c r="C77" i="64"/>
  <c r="F77" i="64"/>
  <c r="C239" i="64"/>
  <c r="F239" i="64"/>
  <c r="O3" i="64"/>
  <c r="Q3" i="64"/>
  <c r="P3" i="64"/>
  <c r="N3" i="64"/>
  <c r="M3" i="64"/>
  <c r="K3" i="64"/>
  <c r="L3" i="64"/>
  <c r="J3" i="64"/>
  <c r="I3" i="64"/>
  <c r="H3" i="64"/>
  <c r="B245" i="64"/>
  <c r="B389" i="64" s="1"/>
  <c r="I408" i="64"/>
  <c r="G406" i="64"/>
  <c r="G354" i="64"/>
  <c r="G313" i="64"/>
  <c r="G323" i="64" s="1"/>
  <c r="B5" i="64"/>
  <c r="A6" i="64"/>
  <c r="C6" i="64"/>
  <c r="F6" i="64"/>
  <c r="C8" i="64"/>
  <c r="F8" i="64"/>
  <c r="C9" i="64"/>
  <c r="F9" i="64"/>
  <c r="C10" i="64"/>
  <c r="A12" i="64"/>
  <c r="B12" i="64"/>
  <c r="C18" i="64"/>
  <c r="C20" i="64"/>
  <c r="F20" i="64"/>
  <c r="C24" i="64"/>
  <c r="C26" i="64"/>
  <c r="C28" i="64"/>
  <c r="B29" i="64"/>
  <c r="C31" i="64"/>
  <c r="B32" i="64"/>
  <c r="A34" i="64"/>
  <c r="A35" i="64"/>
  <c r="C39" i="64"/>
  <c r="F39" i="64"/>
  <c r="C41" i="64"/>
  <c r="C42" i="64"/>
  <c r="C43" i="64"/>
  <c r="B47" i="64"/>
  <c r="B49" i="64"/>
  <c r="C51" i="64"/>
  <c r="F51" i="64"/>
  <c r="C53" i="64"/>
  <c r="F53" i="64"/>
  <c r="C57" i="64"/>
  <c r="C59" i="64"/>
  <c r="B61" i="64"/>
  <c r="B63" i="64"/>
  <c r="A65" i="64"/>
  <c r="B67" i="64"/>
  <c r="C68" i="64"/>
  <c r="F68" i="64"/>
  <c r="C69" i="64"/>
  <c r="F69" i="64"/>
  <c r="C70" i="64"/>
  <c r="C73" i="64"/>
  <c r="B76" i="64"/>
  <c r="C78" i="64"/>
  <c r="C79" i="64"/>
  <c r="B81" i="64"/>
  <c r="C83" i="64"/>
  <c r="C84" i="64"/>
  <c r="C85" i="64"/>
  <c r="F85" i="64"/>
  <c r="C86" i="64"/>
  <c r="B88" i="64"/>
  <c r="C89" i="64"/>
  <c r="C90" i="64"/>
  <c r="F90" i="64"/>
  <c r="C91" i="64"/>
  <c r="B93" i="64"/>
  <c r="C95" i="64"/>
  <c r="C96" i="64"/>
  <c r="B98" i="64"/>
  <c r="B100" i="64"/>
  <c r="A102" i="64"/>
  <c r="B104" i="64"/>
  <c r="C105" i="64"/>
  <c r="F105" i="64"/>
  <c r="C106" i="64"/>
  <c r="F106" i="64"/>
  <c r="C107" i="64"/>
  <c r="F107" i="64"/>
  <c r="C108" i="64"/>
  <c r="C112" i="64"/>
  <c r="F112" i="64"/>
  <c r="C113" i="64"/>
  <c r="F113" i="64"/>
  <c r="C115" i="64"/>
  <c r="F115" i="64"/>
  <c r="C117" i="64"/>
  <c r="C118" i="64"/>
  <c r="C119" i="64"/>
  <c r="C124" i="64"/>
  <c r="C126" i="64"/>
  <c r="F126" i="64"/>
  <c r="C128" i="64"/>
  <c r="C129" i="64"/>
  <c r="C130" i="64"/>
  <c r="C132" i="64"/>
  <c r="A134" i="64"/>
  <c r="B136" i="64"/>
  <c r="C137" i="64"/>
  <c r="F137" i="64"/>
  <c r="C139" i="64"/>
  <c r="F139" i="64"/>
  <c r="C141" i="64"/>
  <c r="C142" i="64"/>
  <c r="C143" i="64"/>
  <c r="C147" i="64"/>
  <c r="C148" i="64"/>
  <c r="C149" i="64"/>
  <c r="B152" i="64"/>
  <c r="A154" i="64"/>
  <c r="B156" i="64"/>
  <c r="F156" i="64"/>
  <c r="B158" i="64"/>
  <c r="A160" i="64"/>
  <c r="B162" i="64"/>
  <c r="C163" i="64"/>
  <c r="F163" i="64"/>
  <c r="C164" i="64"/>
  <c r="F164" i="64"/>
  <c r="C165" i="64"/>
  <c r="B167" i="64"/>
  <c r="E167" i="64"/>
  <c r="F167" i="64"/>
  <c r="B169" i="64"/>
  <c r="C170" i="64"/>
  <c r="F170" i="64"/>
  <c r="C171" i="64"/>
  <c r="E171" i="64"/>
  <c r="C172" i="64"/>
  <c r="C173" i="64"/>
  <c r="E173" i="64"/>
  <c r="F173" i="64"/>
  <c r="C174" i="64"/>
  <c r="B176" i="64"/>
  <c r="C177" i="64"/>
  <c r="F177" i="64"/>
  <c r="C178" i="64"/>
  <c r="F178" i="64"/>
  <c r="C179" i="64"/>
  <c r="E179" i="64"/>
  <c r="F179" i="64"/>
  <c r="C180" i="64"/>
  <c r="E180" i="64"/>
  <c r="C181" i="64"/>
  <c r="C182" i="64"/>
  <c r="F182" i="64"/>
  <c r="C183" i="64"/>
  <c r="C184" i="64"/>
  <c r="C186" i="64"/>
  <c r="D186" i="64"/>
  <c r="C187" i="64"/>
  <c r="D187" i="64"/>
  <c r="C188" i="64"/>
  <c r="D188" i="64"/>
  <c r="C190" i="64"/>
  <c r="D190" i="64"/>
  <c r="C191" i="64"/>
  <c r="D191" i="64"/>
  <c r="C192" i="64"/>
  <c r="D192" i="64"/>
  <c r="F192" i="64"/>
  <c r="C194" i="64"/>
  <c r="D194" i="64"/>
  <c r="C195" i="64"/>
  <c r="D195" i="64"/>
  <c r="C196" i="64"/>
  <c r="D196" i="64"/>
  <c r="B197" i="64"/>
  <c r="B199" i="64"/>
  <c r="A201" i="64"/>
  <c r="A203" i="64"/>
  <c r="B203" i="64"/>
  <c r="C204" i="64"/>
  <c r="F204" i="64"/>
  <c r="C206" i="64"/>
  <c r="D206" i="64"/>
  <c r="F206" i="64"/>
  <c r="C207" i="64"/>
  <c r="D207" i="64"/>
  <c r="C208" i="64"/>
  <c r="B210" i="64"/>
  <c r="C211" i="64"/>
  <c r="F211" i="64"/>
  <c r="C212" i="64"/>
  <c r="C213" i="64"/>
  <c r="C214" i="64"/>
  <c r="B218" i="64"/>
  <c r="D218" i="64"/>
  <c r="B220" i="64"/>
  <c r="A222" i="64"/>
  <c r="B224" i="64"/>
  <c r="C225" i="64"/>
  <c r="C226" i="64"/>
  <c r="C227" i="64"/>
  <c r="C229" i="64"/>
  <c r="C230" i="64"/>
  <c r="C231" i="64"/>
  <c r="C232" i="64"/>
  <c r="C233" i="64"/>
  <c r="C235" i="64"/>
  <c r="B237" i="64"/>
  <c r="C240" i="64"/>
  <c r="C241" i="64"/>
  <c r="C242" i="64"/>
  <c r="C243" i="64"/>
  <c r="C246" i="64"/>
  <c r="F246" i="64"/>
  <c r="C249" i="64"/>
  <c r="B251" i="64"/>
  <c r="C253" i="64"/>
  <c r="C254" i="64"/>
  <c r="C255" i="64"/>
  <c r="C256" i="64"/>
  <c r="B259" i="64"/>
  <c r="C260" i="64"/>
  <c r="C261" i="64"/>
  <c r="F261" i="64"/>
  <c r="C262" i="64"/>
  <c r="C264" i="64"/>
  <c r="C265" i="64"/>
  <c r="C267" i="64"/>
  <c r="C268" i="64"/>
  <c r="F268" i="64"/>
  <c r="C269" i="64"/>
  <c r="B271" i="64"/>
  <c r="C273" i="64"/>
  <c r="D273" i="64"/>
  <c r="C275" i="64"/>
  <c r="E214" i="64"/>
  <c r="A69" i="64"/>
  <c r="A70" i="64"/>
  <c r="F70" i="64"/>
  <c r="A104" i="64"/>
  <c r="F78" i="64"/>
  <c r="F142" i="64"/>
  <c r="A78" i="64"/>
  <c r="F214" i="64"/>
  <c r="F171" i="64"/>
  <c r="A268" i="64"/>
  <c r="F54" i="64"/>
  <c r="F238" i="64"/>
  <c r="F253" i="64"/>
  <c r="F79" i="64"/>
  <c r="A77" i="64"/>
  <c r="A79" i="64"/>
  <c r="A82" i="64"/>
  <c r="A83" i="64"/>
  <c r="A84" i="64"/>
  <c r="A85" i="64"/>
  <c r="A86" i="64"/>
  <c r="A89" i="64"/>
  <c r="A90" i="64"/>
  <c r="A91" i="64"/>
  <c r="A94" i="64"/>
  <c r="A374" i="64" s="1"/>
  <c r="A95" i="64"/>
  <c r="F96" i="64"/>
  <c r="A96" i="64"/>
  <c r="F98" i="64"/>
  <c r="F226" i="64"/>
  <c r="A98" i="64"/>
  <c r="F100" i="64"/>
  <c r="A100" i="64"/>
  <c r="F227" i="64"/>
  <c r="A105" i="64"/>
  <c r="A106" i="64"/>
  <c r="F108" i="64"/>
  <c r="A107" i="64"/>
  <c r="A108" i="64"/>
  <c r="A111" i="64"/>
  <c r="A112" i="64"/>
  <c r="A113" i="64"/>
  <c r="A114" i="64"/>
  <c r="A115" i="64"/>
  <c r="A116" i="64"/>
  <c r="F117" i="64"/>
  <c r="F119" i="64"/>
  <c r="A117" i="64"/>
  <c r="A118" i="64"/>
  <c r="A119" i="64"/>
  <c r="A122" i="64"/>
  <c r="F124" i="64"/>
  <c r="A123" i="64"/>
  <c r="A124" i="64"/>
  <c r="A126" i="64"/>
  <c r="F128" i="64"/>
  <c r="A127" i="64"/>
  <c r="A128" i="64"/>
  <c r="F130" i="64"/>
  <c r="A129" i="64"/>
  <c r="A130" i="64"/>
  <c r="F132" i="64"/>
  <c r="F229" i="64"/>
  <c r="F89" i="64"/>
  <c r="A132" i="64"/>
  <c r="A137" i="64"/>
  <c r="A139" i="64"/>
  <c r="F141" i="64"/>
  <c r="A140" i="64"/>
  <c r="F143" i="64"/>
  <c r="A141" i="64"/>
  <c r="A142" i="64"/>
  <c r="A143" i="64"/>
  <c r="A145" i="64"/>
  <c r="F147" i="64"/>
  <c r="A146" i="64"/>
  <c r="F149" i="64"/>
  <c r="A147" i="64"/>
  <c r="A148" i="64"/>
  <c r="A149" i="64"/>
  <c r="F152" i="64"/>
  <c r="F230" i="64"/>
  <c r="A152" i="64"/>
  <c r="A156" i="64"/>
  <c r="F158" i="64"/>
  <c r="A158" i="64"/>
  <c r="F231" i="64"/>
  <c r="A163" i="64"/>
  <c r="F165" i="64"/>
  <c r="A14" i="53"/>
  <c r="A164" i="64"/>
  <c r="A165" i="64"/>
  <c r="A167" i="64"/>
  <c r="A170" i="64"/>
  <c r="A171" i="64"/>
  <c r="A172" i="64"/>
  <c r="A173" i="64"/>
  <c r="F174" i="64"/>
  <c r="A174" i="64"/>
  <c r="A177" i="64"/>
  <c r="F183" i="64"/>
  <c r="A178" i="64"/>
  <c r="A179" i="64"/>
  <c r="A180" i="64"/>
  <c r="A18" i="53"/>
  <c r="F181" i="64"/>
  <c r="A181" i="64"/>
  <c r="F190" i="64"/>
  <c r="A182" i="64"/>
  <c r="F191" i="64"/>
  <c r="A183" i="64"/>
  <c r="F184" i="64"/>
  <c r="A184" i="64"/>
  <c r="F188" i="64"/>
  <c r="F187" i="64"/>
  <c r="A186" i="64"/>
  <c r="F186" i="64"/>
  <c r="A187" i="64"/>
  <c r="A188" i="64"/>
  <c r="A190" i="64"/>
  <c r="F194" i="64"/>
  <c r="A191" i="64"/>
  <c r="A192" i="64"/>
  <c r="F195" i="64"/>
  <c r="A194" i="64"/>
  <c r="F196" i="64"/>
  <c r="A195" i="64"/>
  <c r="A196" i="64"/>
  <c r="A197" i="64"/>
  <c r="F197" i="64"/>
  <c r="A199" i="64"/>
  <c r="F232" i="64"/>
  <c r="F199" i="64"/>
  <c r="A204" i="64"/>
  <c r="A205" i="64"/>
  <c r="A206" i="64"/>
  <c r="A207" i="64"/>
  <c r="F218" i="64"/>
  <c r="A208" i="64"/>
  <c r="F212" i="64"/>
  <c r="A211" i="64"/>
  <c r="A212" i="64"/>
  <c r="A213" i="64"/>
  <c r="A214" i="64"/>
  <c r="F220" i="64"/>
  <c r="A218" i="64"/>
  <c r="A220" i="64"/>
  <c r="F233" i="64"/>
  <c r="A225" i="64"/>
  <c r="A226" i="64"/>
  <c r="A227" i="64"/>
  <c r="A229" i="64"/>
  <c r="A230" i="64"/>
  <c r="A231" i="64"/>
  <c r="A232" i="64"/>
  <c r="A233" i="64"/>
  <c r="F235" i="64"/>
  <c r="A235" i="64"/>
  <c r="F242" i="64"/>
  <c r="A238" i="64"/>
  <c r="F240" i="64"/>
  <c r="A239" i="64"/>
  <c r="A240" i="64"/>
  <c r="F241" i="64"/>
  <c r="A241" i="64"/>
  <c r="A242" i="64"/>
  <c r="F243" i="64"/>
  <c r="A243" i="64"/>
  <c r="A246" i="64"/>
  <c r="A247" i="64"/>
  <c r="A390" i="64" s="1"/>
  <c r="F249" i="64"/>
  <c r="A249" i="64"/>
  <c r="F260" i="64"/>
  <c r="F252" i="64"/>
  <c r="F267" i="64"/>
  <c r="F254" i="64"/>
  <c r="A252" i="64"/>
  <c r="F256" i="64"/>
  <c r="F255" i="64"/>
  <c r="A253" i="64"/>
  <c r="A254" i="64"/>
  <c r="A255" i="64"/>
  <c r="B10" i="55"/>
  <c r="B16" i="55"/>
  <c r="A256" i="64"/>
  <c r="A260" i="64"/>
  <c r="F262" i="64"/>
  <c r="A261" i="64"/>
  <c r="A262" i="64"/>
  <c r="F264" i="64"/>
  <c r="A263" i="64"/>
  <c r="F265" i="64"/>
  <c r="A264" i="64"/>
  <c r="A265" i="64"/>
  <c r="B11" i="55"/>
  <c r="A267" i="64"/>
  <c r="F269" i="64"/>
  <c r="A269" i="64"/>
  <c r="F273" i="64"/>
  <c r="A272" i="64"/>
  <c r="F275" i="64"/>
  <c r="A275" i="64"/>
  <c r="A273" i="64"/>
  <c r="AV49" i="72"/>
  <c r="AV50" i="72" s="1"/>
  <c r="BH65" i="72"/>
  <c r="BH66" i="72" s="1"/>
  <c r="T44" i="55"/>
  <c r="T45" i="55" s="1"/>
  <c r="L48" i="55"/>
  <c r="L49" i="55" s="1"/>
  <c r="L56" i="55"/>
  <c r="L57" i="55" s="1"/>
  <c r="T66" i="55"/>
  <c r="T67" i="55" s="1"/>
  <c r="T56" i="55"/>
  <c r="T57" i="55" s="1"/>
  <c r="T64" i="55"/>
  <c r="T65" i="55" s="1"/>
  <c r="T50" i="55"/>
  <c r="T51" i="55" s="1"/>
  <c r="L36" i="55"/>
  <c r="L37" i="55"/>
  <c r="T68" i="55"/>
  <c r="T69" i="55" s="1"/>
  <c r="T42" i="55"/>
  <c r="T43" i="55" s="1"/>
  <c r="H64" i="55"/>
  <c r="H65" i="55" s="1"/>
  <c r="AF66" i="55"/>
  <c r="AF67" i="55" s="1"/>
  <c r="T60" i="55"/>
  <c r="T61" i="55" s="1"/>
  <c r="AJ58" i="55"/>
  <c r="AJ59" i="55"/>
  <c r="T54" i="55"/>
  <c r="T55" i="55" s="1"/>
  <c r="L60" i="55"/>
  <c r="L61" i="55" s="1"/>
  <c r="L38" i="55"/>
  <c r="L39" i="55" s="1"/>
  <c r="AJ66" i="55"/>
  <c r="AJ67" i="55" s="1"/>
  <c r="AJ70" i="55"/>
  <c r="AJ71" i="55" s="1"/>
  <c r="AJ60" i="55"/>
  <c r="AJ61" i="55" s="1"/>
  <c r="AJ54" i="55"/>
  <c r="AJ55" i="55" s="1"/>
  <c r="AJ52" i="55"/>
  <c r="AJ53" i="55" s="1"/>
  <c r="AJ44" i="55"/>
  <c r="AJ45" i="55" s="1"/>
  <c r="H56" i="55"/>
  <c r="H57" i="55" s="1"/>
  <c r="FI57" i="72"/>
  <c r="FI58" i="72" s="1"/>
  <c r="P52" i="55"/>
  <c r="P53" i="55" s="1"/>
  <c r="AB66" i="55"/>
  <c r="AB67" i="55" s="1"/>
  <c r="GK58" i="72"/>
  <c r="IC61" i="72"/>
  <c r="IC62" i="72" s="1"/>
  <c r="D44" i="71" l="1"/>
  <c r="D48" i="71" s="1"/>
  <c r="BH49" i="72"/>
  <c r="BH50" i="72" s="1"/>
  <c r="CF75" i="72"/>
  <c r="CF76" i="72" s="1"/>
  <c r="BH63" i="72"/>
  <c r="BH64" i="72" s="1"/>
  <c r="CF101" i="72"/>
  <c r="CF102" i="72" s="1"/>
  <c r="D35" i="71"/>
  <c r="D36" i="71" s="1"/>
  <c r="D38" i="71" s="1"/>
  <c r="D39" i="71" s="1"/>
  <c r="D22" i="71" s="1"/>
  <c r="D23" i="71" s="1"/>
  <c r="H281" i="48" s="1"/>
  <c r="AJ69" i="72"/>
  <c r="AJ70" i="72" s="1"/>
  <c r="CV91" i="72"/>
  <c r="CV92" i="72" s="1"/>
  <c r="CV59" i="72"/>
  <c r="CB57" i="72"/>
  <c r="CB58" i="72" s="1"/>
  <c r="CB137" i="72"/>
  <c r="CB49" i="72"/>
  <c r="AN131" i="72"/>
  <c r="AN132" i="72" s="1"/>
  <c r="AN47" i="72"/>
  <c r="GG59" i="72"/>
  <c r="GG60" i="72" s="1"/>
  <c r="GG57" i="72"/>
  <c r="GG58" i="72" s="1"/>
  <c r="L87" i="72"/>
  <c r="L88" i="72" s="1"/>
  <c r="L41" i="72"/>
  <c r="BX87" i="72"/>
  <c r="BX88" i="72" s="1"/>
  <c r="BX137" i="72"/>
  <c r="BX49" i="72"/>
  <c r="D45" i="72"/>
  <c r="D46" i="72" s="1"/>
  <c r="D43" i="72"/>
  <c r="CJ75" i="72"/>
  <c r="CJ76" i="72" s="1"/>
  <c r="CJ51" i="72"/>
  <c r="CJ52" i="72" s="1"/>
  <c r="CJ139" i="72"/>
  <c r="BT81" i="72"/>
  <c r="BT82" i="72" s="1"/>
  <c r="BT47" i="72"/>
  <c r="AB53" i="72"/>
  <c r="AB54" i="72" s="1"/>
  <c r="AB45" i="72"/>
  <c r="H43" i="72"/>
  <c r="H44" i="72" s="1"/>
  <c r="FQ59" i="72"/>
  <c r="FQ61" i="72" s="1"/>
  <c r="FQ62" i="72" s="1"/>
  <c r="FQ63" i="72" s="1"/>
  <c r="FQ55" i="72"/>
  <c r="FQ56" i="72" s="1"/>
  <c r="GO59" i="72"/>
  <c r="GO57" i="72"/>
  <c r="X81" i="72"/>
  <c r="X82" i="72" s="1"/>
  <c r="X45" i="72"/>
  <c r="P119" i="72"/>
  <c r="P120" i="72" s="1"/>
  <c r="P45" i="72"/>
  <c r="AB58" i="55"/>
  <c r="AB59" i="55" s="1"/>
  <c r="AN107" i="72"/>
  <c r="AN108" i="72" s="1"/>
  <c r="AB44" i="55"/>
  <c r="AB45" i="55" s="1"/>
  <c r="L64" i="55"/>
  <c r="L65" i="55" s="1"/>
  <c r="AF54" i="55"/>
  <c r="AF55" i="55" s="1"/>
  <c r="AF60" i="55"/>
  <c r="AF61" i="55" s="1"/>
  <c r="L66" i="55"/>
  <c r="L67" i="55" s="1"/>
  <c r="BH73" i="72"/>
  <c r="BH74" i="72" s="1"/>
  <c r="L50" i="55"/>
  <c r="L51" i="55" s="1"/>
  <c r="D113" i="72"/>
  <c r="D114" i="72" s="1"/>
  <c r="D107" i="72"/>
  <c r="D108" i="72" s="1"/>
  <c r="D99" i="72"/>
  <c r="D100" i="72" s="1"/>
  <c r="D91" i="72"/>
  <c r="D92" i="72" s="1"/>
  <c r="CB67" i="72"/>
  <c r="CB68" i="72" s="1"/>
  <c r="D119" i="72"/>
  <c r="D120" i="72" s="1"/>
  <c r="P50" i="55"/>
  <c r="P51" i="55" s="1"/>
  <c r="L34" i="55"/>
  <c r="L35" i="55" s="1"/>
  <c r="L68" i="55"/>
  <c r="L69" i="55" s="1"/>
  <c r="AF68" i="55"/>
  <c r="AF69" i="55" s="1"/>
  <c r="L70" i="55"/>
  <c r="L71" i="55" s="1"/>
  <c r="L54" i="55"/>
  <c r="L55" i="55" s="1"/>
  <c r="CV135" i="72"/>
  <c r="CV136" i="72" s="1"/>
  <c r="D129" i="72"/>
  <c r="D130" i="72" s="1"/>
  <c r="D125" i="72"/>
  <c r="D126" i="72" s="1"/>
  <c r="D89" i="72"/>
  <c r="D90" i="72" s="1"/>
  <c r="I246" i="93"/>
  <c r="I250" i="93" s="1"/>
  <c r="I93" i="93"/>
  <c r="I97" i="93" s="1"/>
  <c r="I219" i="93"/>
  <c r="I223" i="93" s="1"/>
  <c r="I14" i="93" s="1"/>
  <c r="I66" i="93"/>
  <c r="I309" i="93"/>
  <c r="I313" i="93" s="1"/>
  <c r="I161" i="93"/>
  <c r="I165" i="93" s="1"/>
  <c r="I289" i="93"/>
  <c r="I137" i="93"/>
  <c r="I141" i="93" s="1"/>
  <c r="I13" i="93" s="1"/>
  <c r="T159" i="65"/>
  <c r="H245" i="48"/>
  <c r="L258" i="65"/>
  <c r="D14" i="85"/>
  <c r="G14" i="85" s="1"/>
  <c r="D15" i="85"/>
  <c r="G15" i="85" s="1"/>
  <c r="D8" i="85"/>
  <c r="G8" i="85" s="1"/>
  <c r="G10" i="85" s="1"/>
  <c r="D16" i="85"/>
  <c r="G16" i="85" s="1"/>
  <c r="T38" i="55"/>
  <c r="T39" i="55" s="1"/>
  <c r="X44" i="55"/>
  <c r="X45" i="55" s="1"/>
  <c r="P42" i="55"/>
  <c r="P43" i="55" s="1"/>
  <c r="P44" i="55"/>
  <c r="P45" i="55" s="1"/>
  <c r="H44" i="55"/>
  <c r="H45" i="55" s="1"/>
  <c r="H46" i="55"/>
  <c r="H47" i="55" s="1"/>
  <c r="H38" i="55"/>
  <c r="H39" i="55" s="1"/>
  <c r="X42" i="55"/>
  <c r="X43" i="55" s="1"/>
  <c r="D59" i="72"/>
  <c r="D60" i="72" s="1"/>
  <c r="H52" i="55"/>
  <c r="H53" i="55" s="1"/>
  <c r="X66" i="55"/>
  <c r="X67" i="55" s="1"/>
  <c r="AB46" i="55"/>
  <c r="AB47" i="55" s="1"/>
  <c r="H68" i="55"/>
  <c r="H69" i="55" s="1"/>
  <c r="D42" i="55"/>
  <c r="D43" i="55" s="1"/>
  <c r="X48" i="55"/>
  <c r="X49" i="55" s="1"/>
  <c r="GO58" i="72"/>
  <c r="GP58" i="72" s="1"/>
  <c r="GN59" i="72" s="1"/>
  <c r="H127" i="72"/>
  <c r="H128" i="72" s="1"/>
  <c r="L81" i="72"/>
  <c r="L82" i="72" s="1"/>
  <c r="H240" i="48"/>
  <c r="AB39" i="55"/>
  <c r="AC39" i="55" s="1"/>
  <c r="AA40" i="55" s="1"/>
  <c r="AC38" i="55"/>
  <c r="AB54" i="55"/>
  <c r="AB55" i="55" s="1"/>
  <c r="AB68" i="55"/>
  <c r="AB69" i="55" s="1"/>
  <c r="H34" i="55"/>
  <c r="H35" i="55" s="1"/>
  <c r="AV73" i="72"/>
  <c r="AV74" i="72" s="1"/>
  <c r="L107" i="72"/>
  <c r="L108" i="72" s="1"/>
  <c r="AN103" i="72"/>
  <c r="AN104" i="72" s="1"/>
  <c r="L71" i="72"/>
  <c r="L72" i="72" s="1"/>
  <c r="AK40" i="55"/>
  <c r="AB52" i="55"/>
  <c r="AB53" i="55" s="1"/>
  <c r="AB40" i="55"/>
  <c r="AB41" i="55" s="1"/>
  <c r="AB70" i="55"/>
  <c r="AB71" i="55" s="1"/>
  <c r="AB56" i="55"/>
  <c r="AB57" i="55" s="1"/>
  <c r="H42" i="55"/>
  <c r="H43" i="55" s="1"/>
  <c r="AB42" i="55"/>
  <c r="AB43" i="55" s="1"/>
  <c r="T48" i="55"/>
  <c r="T49" i="55" s="1"/>
  <c r="AB64" i="55"/>
  <c r="AB65" i="55" s="1"/>
  <c r="T36" i="55"/>
  <c r="T62" i="55"/>
  <c r="T63" i="55" s="1"/>
  <c r="H50" i="55"/>
  <c r="H51" i="55" s="1"/>
  <c r="AF50" i="55"/>
  <c r="AF51" i="55" s="1"/>
  <c r="BP53" i="72"/>
  <c r="BP54" i="72" s="1"/>
  <c r="BL57" i="72"/>
  <c r="BL58" i="72" s="1"/>
  <c r="AV47" i="72"/>
  <c r="AV48" i="72" s="1"/>
  <c r="AV59" i="72"/>
  <c r="AV60" i="72" s="1"/>
  <c r="H36" i="55"/>
  <c r="H37" i="55" s="1"/>
  <c r="T58" i="55"/>
  <c r="T59" i="55" s="1"/>
  <c r="L117" i="72"/>
  <c r="L118" i="72" s="1"/>
  <c r="L109" i="72"/>
  <c r="L110" i="72" s="1"/>
  <c r="CV101" i="72"/>
  <c r="CV102" i="72" s="1"/>
  <c r="H99" i="72"/>
  <c r="H100" i="72" s="1"/>
  <c r="L83" i="72"/>
  <c r="L84" i="72" s="1"/>
  <c r="CV65" i="72"/>
  <c r="CV66" i="72" s="1"/>
  <c r="H70" i="55"/>
  <c r="H71" i="55" s="1"/>
  <c r="AB48" i="55"/>
  <c r="AB49" i="55" s="1"/>
  <c r="H58" i="55"/>
  <c r="H59" i="55" s="1"/>
  <c r="M34" i="55"/>
  <c r="AN123" i="72"/>
  <c r="AN124" i="72" s="1"/>
  <c r="L111" i="72"/>
  <c r="L112" i="72" s="1"/>
  <c r="H66" i="55"/>
  <c r="H67" i="55" s="1"/>
  <c r="AB62" i="55"/>
  <c r="AB63" i="55" s="1"/>
  <c r="AB60" i="55"/>
  <c r="AB61" i="55" s="1"/>
  <c r="H54" i="55"/>
  <c r="H55" i="55" s="1"/>
  <c r="H60" i="55"/>
  <c r="H61" i="55" s="1"/>
  <c r="AB50" i="55"/>
  <c r="AB51" i="55" s="1"/>
  <c r="H40" i="55"/>
  <c r="H41" i="55" s="1"/>
  <c r="H48" i="55"/>
  <c r="H49" i="55" s="1"/>
  <c r="T46" i="55"/>
  <c r="T47" i="55" s="1"/>
  <c r="T52" i="55"/>
  <c r="T53" i="55" s="1"/>
  <c r="AF40" i="55"/>
  <c r="AG40" i="55" s="1"/>
  <c r="T70" i="55"/>
  <c r="T71" i="55" s="1"/>
  <c r="AV57" i="72"/>
  <c r="AV58" i="72" s="1"/>
  <c r="AV71" i="72"/>
  <c r="AV72" i="72" s="1"/>
  <c r="AV41" i="72"/>
  <c r="AV42" i="72" s="1"/>
  <c r="AW42" i="72" s="1"/>
  <c r="CV141" i="72"/>
  <c r="CV142" i="72" s="1"/>
  <c r="L127" i="72"/>
  <c r="L128" i="72" s="1"/>
  <c r="CV121" i="72"/>
  <c r="CV122" i="72" s="1"/>
  <c r="H117" i="72"/>
  <c r="H118" i="72" s="1"/>
  <c r="CV107" i="72"/>
  <c r="CV108" i="72" s="1"/>
  <c r="H107" i="72"/>
  <c r="H108" i="72" s="1"/>
  <c r="L89" i="72"/>
  <c r="L90" i="72" s="1"/>
  <c r="H73" i="72"/>
  <c r="H74" i="72" s="1"/>
  <c r="H250" i="48"/>
  <c r="H236" i="48"/>
  <c r="AI43" i="55"/>
  <c r="BD67" i="72"/>
  <c r="BD68" i="72" s="1"/>
  <c r="BD55" i="72"/>
  <c r="BD56" i="72" s="1"/>
  <c r="X38" i="55"/>
  <c r="X62" i="55"/>
  <c r="X63" i="55" s="1"/>
  <c r="X52" i="55"/>
  <c r="X53" i="55" s="1"/>
  <c r="X68" i="55"/>
  <c r="X69" i="55" s="1"/>
  <c r="X50" i="55"/>
  <c r="X51" i="55" s="1"/>
  <c r="X40" i="55"/>
  <c r="X41" i="55" s="1"/>
  <c r="X56" i="55"/>
  <c r="X57" i="55" s="1"/>
  <c r="X58" i="55"/>
  <c r="X59" i="55" s="1"/>
  <c r="CB129" i="72"/>
  <c r="CB130" i="72" s="1"/>
  <c r="AJ50" i="55"/>
  <c r="AJ51" i="55" s="1"/>
  <c r="X54" i="55"/>
  <c r="X55" i="55" s="1"/>
  <c r="L46" i="55"/>
  <c r="L47" i="55" s="1"/>
  <c r="L40" i="55"/>
  <c r="L41" i="55" s="1"/>
  <c r="L44" i="55"/>
  <c r="L45" i="55" s="1"/>
  <c r="L52" i="55"/>
  <c r="L53" i="55" s="1"/>
  <c r="L58" i="55"/>
  <c r="L59" i="55" s="1"/>
  <c r="L62" i="55"/>
  <c r="L63" i="55" s="1"/>
  <c r="CB107" i="72"/>
  <c r="CB108" i="72" s="1"/>
  <c r="CB97" i="72"/>
  <c r="CB98" i="72" s="1"/>
  <c r="CB95" i="72"/>
  <c r="CB96" i="72" s="1"/>
  <c r="CB85" i="72"/>
  <c r="CB86" i="72" s="1"/>
  <c r="CB77" i="72"/>
  <c r="CB78" i="72" s="1"/>
  <c r="CB65" i="72"/>
  <c r="CB66" i="72" s="1"/>
  <c r="AJ53" i="72"/>
  <c r="AJ54" i="72" s="1"/>
  <c r="AJ55" i="72"/>
  <c r="AJ56" i="72" s="1"/>
  <c r="AJ75" i="72"/>
  <c r="AJ76" i="72" s="1"/>
  <c r="AJ89" i="72"/>
  <c r="AJ90" i="72" s="1"/>
  <c r="AJ127" i="72"/>
  <c r="AJ128" i="72" s="1"/>
  <c r="AJ129" i="72"/>
  <c r="AJ130" i="72" s="1"/>
  <c r="AJ61" i="72"/>
  <c r="AJ62" i="72" s="1"/>
  <c r="AJ67" i="72"/>
  <c r="AJ68" i="72" s="1"/>
  <c r="AJ77" i="72"/>
  <c r="AJ78" i="72" s="1"/>
  <c r="AJ83" i="72"/>
  <c r="AJ84" i="72" s="1"/>
  <c r="AJ85" i="72"/>
  <c r="AJ86" i="72" s="1"/>
  <c r="AJ91" i="72"/>
  <c r="AJ92" i="72" s="1"/>
  <c r="AJ95" i="72"/>
  <c r="AJ96" i="72" s="1"/>
  <c r="AJ103" i="72"/>
  <c r="AJ104" i="72" s="1"/>
  <c r="AJ107" i="72"/>
  <c r="AJ108" i="72" s="1"/>
  <c r="AJ115" i="72"/>
  <c r="AJ116" i="72" s="1"/>
  <c r="D49" i="72"/>
  <c r="D50" i="72" s="1"/>
  <c r="D53" i="72"/>
  <c r="D54" i="72" s="1"/>
  <c r="D65" i="72"/>
  <c r="D66" i="72" s="1"/>
  <c r="D67" i="72"/>
  <c r="D68" i="72" s="1"/>
  <c r="D69" i="72"/>
  <c r="D70" i="72" s="1"/>
  <c r="D77" i="72"/>
  <c r="D78" i="72" s="1"/>
  <c r="D103" i="72"/>
  <c r="D104" i="72" s="1"/>
  <c r="D105" i="72"/>
  <c r="D106" i="72" s="1"/>
  <c r="D115" i="72"/>
  <c r="D116" i="72" s="1"/>
  <c r="D121" i="72"/>
  <c r="D122" i="72" s="1"/>
  <c r="D123" i="72"/>
  <c r="D124" i="72" s="1"/>
  <c r="D57" i="72"/>
  <c r="D58" i="72" s="1"/>
  <c r="D63" i="72"/>
  <c r="D64" i="72" s="1"/>
  <c r="D71" i="72"/>
  <c r="D72" i="72" s="1"/>
  <c r="D111" i="72"/>
  <c r="D112" i="72" s="1"/>
  <c r="D117" i="72"/>
  <c r="D118" i="72" s="1"/>
  <c r="D127" i="72"/>
  <c r="D128" i="72" s="1"/>
  <c r="P95" i="72"/>
  <c r="P96" i="72" s="1"/>
  <c r="P131" i="72"/>
  <c r="P132" i="72" s="1"/>
  <c r="P75" i="72"/>
  <c r="P76" i="72" s="1"/>
  <c r="FE56" i="72"/>
  <c r="FE59" i="72"/>
  <c r="FE60" i="72" s="1"/>
  <c r="CF119" i="72"/>
  <c r="CF120" i="72" s="1"/>
  <c r="CF79" i="72"/>
  <c r="CF80" i="72" s="1"/>
  <c r="CF97" i="72"/>
  <c r="CF98" i="72" s="1"/>
  <c r="CF107" i="72"/>
  <c r="CF108" i="72" s="1"/>
  <c r="CF121" i="72"/>
  <c r="CF122" i="72" s="1"/>
  <c r="CB138" i="72"/>
  <c r="CB50" i="72"/>
  <c r="CB61" i="72"/>
  <c r="CB62" i="72" s="1"/>
  <c r="CB69" i="72"/>
  <c r="CB70" i="72" s="1"/>
  <c r="CB71" i="72"/>
  <c r="CB72" i="72" s="1"/>
  <c r="CB73" i="72"/>
  <c r="CB74" i="72" s="1"/>
  <c r="CB87" i="72"/>
  <c r="CB88" i="72" s="1"/>
  <c r="CB93" i="72"/>
  <c r="CB94" i="72" s="1"/>
  <c r="CB109" i="72"/>
  <c r="CB110" i="72" s="1"/>
  <c r="CB121" i="72"/>
  <c r="CB122" i="72" s="1"/>
  <c r="CB123" i="72"/>
  <c r="CB124" i="72" s="1"/>
  <c r="CB131" i="72"/>
  <c r="CB132" i="72" s="1"/>
  <c r="CB135" i="72"/>
  <c r="CB136" i="72" s="1"/>
  <c r="CB53" i="72"/>
  <c r="CB54" i="72" s="1"/>
  <c r="CB75" i="72"/>
  <c r="CB76" i="72" s="1"/>
  <c r="CB81" i="72"/>
  <c r="CB82" i="72" s="1"/>
  <c r="CB89" i="72"/>
  <c r="CB90" i="72" s="1"/>
  <c r="CB99" i="72"/>
  <c r="CB100" i="72" s="1"/>
  <c r="CB101" i="72"/>
  <c r="CB102" i="72" s="1"/>
  <c r="CB111" i="72"/>
  <c r="CB112" i="72" s="1"/>
  <c r="CB117" i="72"/>
  <c r="CB118" i="72" s="1"/>
  <c r="CB127" i="72"/>
  <c r="CB128" i="72" s="1"/>
  <c r="X83" i="72"/>
  <c r="X84" i="72" s="1"/>
  <c r="X97" i="72"/>
  <c r="X98" i="72" s="1"/>
  <c r="X101" i="72"/>
  <c r="X102" i="72" s="1"/>
  <c r="X107" i="72"/>
  <c r="X108" i="72" s="1"/>
  <c r="X79" i="72"/>
  <c r="X80" i="72" s="1"/>
  <c r="X105" i="72"/>
  <c r="X106" i="72" s="1"/>
  <c r="X113" i="72"/>
  <c r="X114" i="72" s="1"/>
  <c r="X119" i="72"/>
  <c r="X120" i="72" s="1"/>
  <c r="X121" i="72"/>
  <c r="X122" i="72" s="1"/>
  <c r="X131" i="72"/>
  <c r="X132" i="72" s="1"/>
  <c r="I35" i="55"/>
  <c r="G36" i="55" s="1"/>
  <c r="CB103" i="72"/>
  <c r="CB104" i="72" s="1"/>
  <c r="CF85" i="72"/>
  <c r="CF86" i="72" s="1"/>
  <c r="CB83" i="72"/>
  <c r="CB84" i="72" s="1"/>
  <c r="CB63" i="72"/>
  <c r="CB64" i="72" s="1"/>
  <c r="G44" i="72"/>
  <c r="I43" i="72"/>
  <c r="I34" i="55"/>
  <c r="AJ46" i="55"/>
  <c r="AJ47" i="55" s="1"/>
  <c r="AJ64" i="55"/>
  <c r="AJ65" i="55" s="1"/>
  <c r="D70" i="55"/>
  <c r="D71" i="55" s="1"/>
  <c r="E71" i="55" s="1"/>
  <c r="X64" i="55"/>
  <c r="X65" i="55" s="1"/>
  <c r="AJ48" i="55"/>
  <c r="AJ49" i="55" s="1"/>
  <c r="AJ56" i="55"/>
  <c r="AJ57" i="55" s="1"/>
  <c r="AJ68" i="55"/>
  <c r="AJ69" i="55" s="1"/>
  <c r="AJ42" i="55"/>
  <c r="AJ43" i="55" s="1"/>
  <c r="AF41" i="55"/>
  <c r="AG41" i="55" s="1"/>
  <c r="AE42" i="55" s="1"/>
  <c r="AE43" i="55" s="1"/>
  <c r="AG43" i="55" s="1"/>
  <c r="AE44" i="55" s="1"/>
  <c r="AE45" i="55" s="1"/>
  <c r="AJ62" i="55"/>
  <c r="AJ63" i="55" s="1"/>
  <c r="X60" i="55"/>
  <c r="X61" i="55" s="1"/>
  <c r="X70" i="55"/>
  <c r="X71" i="55" s="1"/>
  <c r="M35" i="55"/>
  <c r="K36" i="55" s="1"/>
  <c r="K37" i="55" s="1"/>
  <c r="M37" i="55" s="1"/>
  <c r="K38" i="55" s="1"/>
  <c r="AZ75" i="72"/>
  <c r="AZ76" i="72" s="1"/>
  <c r="AZ61" i="72"/>
  <c r="AZ62" i="72" s="1"/>
  <c r="AZ69" i="72"/>
  <c r="AZ70" i="72" s="1"/>
  <c r="CB125" i="72"/>
  <c r="CB126" i="72" s="1"/>
  <c r="CB119" i="72"/>
  <c r="CB120" i="72" s="1"/>
  <c r="CB115" i="72"/>
  <c r="CB116" i="72" s="1"/>
  <c r="X109" i="72"/>
  <c r="X110" i="72" s="1"/>
  <c r="CB105" i="72"/>
  <c r="CB106" i="72" s="1"/>
  <c r="AJ99" i="72"/>
  <c r="AJ100" i="72" s="1"/>
  <c r="AJ97" i="72"/>
  <c r="AJ98" i="72" s="1"/>
  <c r="D93" i="72"/>
  <c r="D94" i="72" s="1"/>
  <c r="D83" i="72"/>
  <c r="D84" i="72" s="1"/>
  <c r="CB79" i="72"/>
  <c r="CB80" i="72" s="1"/>
  <c r="AJ73" i="72"/>
  <c r="AJ74" i="72" s="1"/>
  <c r="CB55" i="72"/>
  <c r="CB56" i="72" s="1"/>
  <c r="AN65" i="72"/>
  <c r="AN66" i="72" s="1"/>
  <c r="AN99" i="72"/>
  <c r="AN100" i="72" s="1"/>
  <c r="AN117" i="72"/>
  <c r="AN118" i="72" s="1"/>
  <c r="AN129" i="72"/>
  <c r="AN130" i="72" s="1"/>
  <c r="L55" i="72"/>
  <c r="L56" i="72" s="1"/>
  <c r="L43" i="72"/>
  <c r="L44" i="72" s="1"/>
  <c r="L79" i="72"/>
  <c r="L80" i="72" s="1"/>
  <c r="L91" i="72"/>
  <c r="L92" i="72" s="1"/>
  <c r="L113" i="72"/>
  <c r="L114" i="72" s="1"/>
  <c r="L119" i="72"/>
  <c r="L120" i="72" s="1"/>
  <c r="L125" i="72"/>
  <c r="L126" i="72" s="1"/>
  <c r="L123" i="72"/>
  <c r="L124" i="72" s="1"/>
  <c r="DO134" i="72"/>
  <c r="DQ134" i="72" s="1"/>
  <c r="DO135" i="72" s="1"/>
  <c r="DQ133" i="72"/>
  <c r="E239" i="64"/>
  <c r="E94" i="64"/>
  <c r="F95" i="64"/>
  <c r="F10" i="64"/>
  <c r="F137" i="65"/>
  <c r="E8" i="65"/>
  <c r="E390" i="64"/>
  <c r="C8" i="65"/>
  <c r="C374" i="64"/>
  <c r="G372" i="64" s="1"/>
  <c r="E59" i="65"/>
  <c r="C17" i="65"/>
  <c r="EA111" i="72"/>
  <c r="DY107" i="72"/>
  <c r="DW108" i="72"/>
  <c r="DY108" i="72" s="1"/>
  <c r="DS110" i="72"/>
  <c r="DU110" i="72" s="1"/>
  <c r="DU109" i="72"/>
  <c r="BL53" i="72"/>
  <c r="BL54" i="72" s="1"/>
  <c r="BL55" i="72"/>
  <c r="BL56" i="72" s="1"/>
  <c r="BL45" i="72"/>
  <c r="AZ73" i="72"/>
  <c r="AZ74" i="72" s="1"/>
  <c r="BL59" i="72"/>
  <c r="BL60" i="72" s="1"/>
  <c r="BL75" i="72"/>
  <c r="BL76" i="72" s="1"/>
  <c r="CV143" i="72"/>
  <c r="CV144" i="72" s="1"/>
  <c r="CV131" i="72"/>
  <c r="CV132" i="72" s="1"/>
  <c r="H129" i="72"/>
  <c r="H130" i="72" s="1"/>
  <c r="CV125" i="72"/>
  <c r="CV126" i="72" s="1"/>
  <c r="H121" i="72"/>
  <c r="H122" i="72" s="1"/>
  <c r="H119" i="72"/>
  <c r="H120" i="72" s="1"/>
  <c r="H115" i="72"/>
  <c r="H116" i="72" s="1"/>
  <c r="H113" i="72"/>
  <c r="H114" i="72" s="1"/>
  <c r="CV111" i="72"/>
  <c r="CV112" i="72" s="1"/>
  <c r="CV109" i="72"/>
  <c r="CV110" i="72" s="1"/>
  <c r="H109" i="72"/>
  <c r="H110" i="72" s="1"/>
  <c r="H105" i="72"/>
  <c r="H106" i="72" s="1"/>
  <c r="CV99" i="72"/>
  <c r="CV100" i="72" s="1"/>
  <c r="H91" i="72"/>
  <c r="H92" i="72" s="1"/>
  <c r="H89" i="72"/>
  <c r="H90" i="72" s="1"/>
  <c r="P85" i="72"/>
  <c r="P86" i="72" s="1"/>
  <c r="H75" i="72"/>
  <c r="H76" i="72" s="1"/>
  <c r="CJ69" i="72"/>
  <c r="CJ70" i="72" s="1"/>
  <c r="CV67" i="72"/>
  <c r="CV68" i="72" s="1"/>
  <c r="P67" i="72"/>
  <c r="P68" i="72" s="1"/>
  <c r="P63" i="72"/>
  <c r="P64" i="72" s="1"/>
  <c r="AE31" i="72"/>
  <c r="AF51" i="72" s="1"/>
  <c r="AF52" i="72" s="1"/>
  <c r="H51" i="72"/>
  <c r="H52" i="72" s="1"/>
  <c r="P49" i="72"/>
  <c r="P50" i="72" s="1"/>
  <c r="BL65" i="72"/>
  <c r="BL66" i="72" s="1"/>
  <c r="BL49" i="72"/>
  <c r="BL50" i="72" s="1"/>
  <c r="BL61" i="72"/>
  <c r="BL62" i="72" s="1"/>
  <c r="BL67" i="72"/>
  <c r="BL68" i="72" s="1"/>
  <c r="BL73" i="72"/>
  <c r="BL74" i="72" s="1"/>
  <c r="CV147" i="72"/>
  <c r="CV148" i="72" s="1"/>
  <c r="CV139" i="72"/>
  <c r="CV140" i="72" s="1"/>
  <c r="P127" i="72"/>
  <c r="P128" i="72" s="1"/>
  <c r="H125" i="72"/>
  <c r="H126" i="72" s="1"/>
  <c r="CV119" i="72"/>
  <c r="CV120" i="72" s="1"/>
  <c r="CV113" i="72"/>
  <c r="CV114" i="72" s="1"/>
  <c r="H111" i="72"/>
  <c r="H112" i="72" s="1"/>
  <c r="CV103" i="72"/>
  <c r="CV104" i="72" s="1"/>
  <c r="H101" i="72"/>
  <c r="H102" i="72" s="1"/>
  <c r="H97" i="72"/>
  <c r="H98" i="72" s="1"/>
  <c r="H95" i="72"/>
  <c r="H96" i="72" s="1"/>
  <c r="CJ89" i="72"/>
  <c r="CJ90" i="72" s="1"/>
  <c r="CJ79" i="72"/>
  <c r="CJ80" i="72" s="1"/>
  <c r="P73" i="72"/>
  <c r="P74" i="72" s="1"/>
  <c r="H69" i="72"/>
  <c r="H70" i="72" s="1"/>
  <c r="AN59" i="72"/>
  <c r="AN60" i="72" s="1"/>
  <c r="H59" i="72"/>
  <c r="H60" i="72" s="1"/>
  <c r="BL51" i="72"/>
  <c r="BL52" i="72" s="1"/>
  <c r="BL71" i="72"/>
  <c r="BL72" i="72" s="1"/>
  <c r="AZ51" i="72"/>
  <c r="AZ52" i="72" s="1"/>
  <c r="AZ47" i="72"/>
  <c r="AZ48" i="72" s="1"/>
  <c r="BL47" i="72"/>
  <c r="BL48" i="72" s="1"/>
  <c r="BL69" i="72"/>
  <c r="BL70" i="72" s="1"/>
  <c r="CV145" i="72"/>
  <c r="CV146" i="72" s="1"/>
  <c r="CV137" i="72"/>
  <c r="CV138" i="72" s="1"/>
  <c r="CV133" i="72"/>
  <c r="CV134" i="72" s="1"/>
  <c r="CV129" i="72"/>
  <c r="CV130" i="72" s="1"/>
  <c r="CV127" i="72"/>
  <c r="CV128" i="72" s="1"/>
  <c r="P125" i="72"/>
  <c r="P126" i="72" s="1"/>
  <c r="H123" i="72"/>
  <c r="H124" i="72" s="1"/>
  <c r="CV117" i="72"/>
  <c r="CV118" i="72" s="1"/>
  <c r="CV115" i="72"/>
  <c r="CV116" i="72" s="1"/>
  <c r="CV105" i="72"/>
  <c r="CV106" i="72" s="1"/>
  <c r="H103" i="72"/>
  <c r="H104" i="72" s="1"/>
  <c r="P97" i="72"/>
  <c r="P98" i="72" s="1"/>
  <c r="H85" i="72"/>
  <c r="H86" i="72" s="1"/>
  <c r="H83" i="72"/>
  <c r="H84" i="72" s="1"/>
  <c r="H71" i="72"/>
  <c r="H72" i="72" s="1"/>
  <c r="H55" i="72"/>
  <c r="H56" i="72" s="1"/>
  <c r="FM56" i="72"/>
  <c r="FN55" i="72"/>
  <c r="FE61" i="72"/>
  <c r="FE62" i="72" s="1"/>
  <c r="FE63" i="72" s="1"/>
  <c r="FE64" i="72" s="1"/>
  <c r="FI59" i="72"/>
  <c r="FI60" i="72" s="1"/>
  <c r="FI75" i="72"/>
  <c r="FI76" i="72" s="1"/>
  <c r="BD53" i="72"/>
  <c r="BD54" i="72" s="1"/>
  <c r="BD49" i="72"/>
  <c r="BD50" i="72" s="1"/>
  <c r="FQ75" i="72"/>
  <c r="FQ76" i="72" s="1"/>
  <c r="FQ57" i="72"/>
  <c r="FQ58" i="72" s="1"/>
  <c r="CJ55" i="72"/>
  <c r="CJ56" i="72" s="1"/>
  <c r="CJ59" i="72"/>
  <c r="CJ60" i="72" s="1"/>
  <c r="CJ77" i="72"/>
  <c r="CJ78" i="72" s="1"/>
  <c r="CJ81" i="72"/>
  <c r="CJ82" i="72" s="1"/>
  <c r="CJ97" i="72"/>
  <c r="CJ98" i="72" s="1"/>
  <c r="CJ101" i="72"/>
  <c r="CJ102" i="72" s="1"/>
  <c r="CJ113" i="72"/>
  <c r="CJ114" i="72" s="1"/>
  <c r="CJ63" i="72"/>
  <c r="CJ64" i="72" s="1"/>
  <c r="CJ67" i="72"/>
  <c r="CJ68" i="72" s="1"/>
  <c r="CJ83" i="72"/>
  <c r="CJ84" i="72" s="1"/>
  <c r="CJ91" i="72"/>
  <c r="CJ92" i="72" s="1"/>
  <c r="CJ93" i="72"/>
  <c r="CJ94" i="72" s="1"/>
  <c r="CJ95" i="72"/>
  <c r="CJ96" i="72" s="1"/>
  <c r="CJ105" i="72"/>
  <c r="CJ106" i="72" s="1"/>
  <c r="CJ109" i="72"/>
  <c r="CJ110" i="72" s="1"/>
  <c r="CJ121" i="72"/>
  <c r="CJ122" i="72" s="1"/>
  <c r="CJ125" i="72"/>
  <c r="CJ126" i="72" s="1"/>
  <c r="CJ127" i="72"/>
  <c r="CJ128" i="72" s="1"/>
  <c r="CJ135" i="72"/>
  <c r="CJ136" i="72" s="1"/>
  <c r="CJ137" i="72"/>
  <c r="CJ138" i="72" s="1"/>
  <c r="CJ65" i="72"/>
  <c r="CJ66" i="72" s="1"/>
  <c r="CJ73" i="72"/>
  <c r="CJ74" i="72" s="1"/>
  <c r="CJ99" i="72"/>
  <c r="CJ100" i="72" s="1"/>
  <c r="CJ103" i="72"/>
  <c r="CJ104" i="72" s="1"/>
  <c r="CJ111" i="72"/>
  <c r="CJ112" i="72" s="1"/>
  <c r="CJ119" i="72"/>
  <c r="CJ120" i="72" s="1"/>
  <c r="CJ115" i="72"/>
  <c r="CJ116" i="72" s="1"/>
  <c r="CJ123" i="72"/>
  <c r="CJ124" i="72" s="1"/>
  <c r="CJ57" i="72"/>
  <c r="CJ58" i="72" s="1"/>
  <c r="CJ71" i="72"/>
  <c r="CJ72" i="72" s="1"/>
  <c r="CJ117" i="72"/>
  <c r="CJ118" i="72" s="1"/>
  <c r="CJ133" i="72"/>
  <c r="CJ134" i="72" s="1"/>
  <c r="CJ85" i="72"/>
  <c r="CJ86" i="72" s="1"/>
  <c r="CJ87" i="72"/>
  <c r="CJ88" i="72" s="1"/>
  <c r="CJ107" i="72"/>
  <c r="CJ108" i="72" s="1"/>
  <c r="CJ129" i="72"/>
  <c r="CJ130" i="72" s="1"/>
  <c r="CJ131" i="72"/>
  <c r="CJ132" i="72" s="1"/>
  <c r="BD59" i="72"/>
  <c r="BD60" i="72" s="1"/>
  <c r="BD75" i="72"/>
  <c r="BD76" i="72" s="1"/>
  <c r="BD69" i="72"/>
  <c r="BD70" i="72" s="1"/>
  <c r="BD57" i="72"/>
  <c r="BD58" i="72" s="1"/>
  <c r="BD61" i="72"/>
  <c r="BD62" i="72" s="1"/>
  <c r="BD71" i="72"/>
  <c r="BD72" i="72" s="1"/>
  <c r="BD63" i="72"/>
  <c r="BD64" i="72" s="1"/>
  <c r="BD51" i="72"/>
  <c r="BD52" i="72" s="1"/>
  <c r="BD45" i="72"/>
  <c r="BD46" i="72" s="1"/>
  <c r="BD43" i="72"/>
  <c r="BD47" i="72"/>
  <c r="BD48" i="72" s="1"/>
  <c r="BD73" i="72"/>
  <c r="BD74" i="72" s="1"/>
  <c r="BD65" i="72"/>
  <c r="BD66" i="72" s="1"/>
  <c r="BP65" i="72"/>
  <c r="BP66" i="72" s="1"/>
  <c r="BP47" i="72"/>
  <c r="BP48" i="72" s="1"/>
  <c r="BP71" i="72"/>
  <c r="BP72" i="72" s="1"/>
  <c r="BP61" i="72"/>
  <c r="BP62" i="72" s="1"/>
  <c r="BP55" i="72"/>
  <c r="BP56" i="72" s="1"/>
  <c r="BP63" i="72"/>
  <c r="BP64" i="72" s="1"/>
  <c r="BP59" i="72"/>
  <c r="BP60" i="72" s="1"/>
  <c r="BP57" i="72"/>
  <c r="BP58" i="72" s="1"/>
  <c r="BP67" i="72"/>
  <c r="BP68" i="72" s="1"/>
  <c r="BP69" i="72"/>
  <c r="BP70" i="72" s="1"/>
  <c r="BP73" i="72"/>
  <c r="BP74" i="72" s="1"/>
  <c r="BP45" i="72"/>
  <c r="BP46" i="72" s="1"/>
  <c r="BQ46" i="72" s="1"/>
  <c r="BT83" i="72"/>
  <c r="BT84" i="72" s="1"/>
  <c r="BT89" i="72"/>
  <c r="BT90" i="72" s="1"/>
  <c r="BT99" i="72"/>
  <c r="BT100" i="72" s="1"/>
  <c r="BT111" i="72"/>
  <c r="BT112" i="72" s="1"/>
  <c r="BT115" i="72"/>
  <c r="BT116" i="72" s="1"/>
  <c r="BT57" i="72"/>
  <c r="BT58" i="72" s="1"/>
  <c r="BT97" i="72"/>
  <c r="BT98" i="72" s="1"/>
  <c r="BT123" i="72"/>
  <c r="BT124" i="72" s="1"/>
  <c r="BT129" i="72"/>
  <c r="BT130" i="72" s="1"/>
  <c r="BT131" i="72"/>
  <c r="BT132" i="72" s="1"/>
  <c r="BT121" i="72"/>
  <c r="BT122" i="72" s="1"/>
  <c r="BT63" i="72"/>
  <c r="BT64" i="72" s="1"/>
  <c r="BT91" i="72"/>
  <c r="BT92" i="72" s="1"/>
  <c r="BT61" i="72"/>
  <c r="BT62" i="72" s="1"/>
  <c r="BT105" i="72"/>
  <c r="BT106" i="72" s="1"/>
  <c r="BT133" i="72"/>
  <c r="BT134" i="72" s="1"/>
  <c r="BT135" i="72"/>
  <c r="BT136" i="72" s="1"/>
  <c r="AN55" i="72"/>
  <c r="AN56" i="72" s="1"/>
  <c r="AN69" i="72"/>
  <c r="AN70" i="72" s="1"/>
  <c r="AN73" i="72"/>
  <c r="AN74" i="72" s="1"/>
  <c r="AN79" i="72"/>
  <c r="AN80" i="72" s="1"/>
  <c r="AN85" i="72"/>
  <c r="AN86" i="72" s="1"/>
  <c r="AN95" i="72"/>
  <c r="AN96" i="72" s="1"/>
  <c r="AN97" i="72"/>
  <c r="AN98" i="72" s="1"/>
  <c r="AN105" i="72"/>
  <c r="AN106" i="72" s="1"/>
  <c r="AN51" i="72"/>
  <c r="AN52" i="72" s="1"/>
  <c r="AN61" i="72"/>
  <c r="AN62" i="72" s="1"/>
  <c r="AN75" i="72"/>
  <c r="AN76" i="72" s="1"/>
  <c r="AN87" i="72"/>
  <c r="AN88" i="72" s="1"/>
  <c r="AN115" i="72"/>
  <c r="AN116" i="72" s="1"/>
  <c r="AN121" i="72"/>
  <c r="AN122" i="72" s="1"/>
  <c r="AN77" i="72"/>
  <c r="AN78" i="72" s="1"/>
  <c r="AN89" i="72"/>
  <c r="AN90" i="72" s="1"/>
  <c r="AN101" i="72"/>
  <c r="AN102" i="72" s="1"/>
  <c r="AN133" i="72"/>
  <c r="AN134" i="72" s="1"/>
  <c r="AN83" i="72"/>
  <c r="AN84" i="72" s="1"/>
  <c r="AN111" i="72"/>
  <c r="AN112" i="72" s="1"/>
  <c r="AN113" i="72"/>
  <c r="AN114" i="72" s="1"/>
  <c r="AN125" i="72"/>
  <c r="AN126" i="72" s="1"/>
  <c r="AN53" i="72"/>
  <c r="AN54" i="72" s="1"/>
  <c r="AN91" i="72"/>
  <c r="AN92" i="72" s="1"/>
  <c r="AN81" i="72"/>
  <c r="AN82" i="72" s="1"/>
  <c r="AN93" i="72"/>
  <c r="AN94" i="72" s="1"/>
  <c r="AN109" i="72"/>
  <c r="AN110" i="72" s="1"/>
  <c r="AN119" i="72"/>
  <c r="AN120" i="72" s="1"/>
  <c r="AN127" i="72"/>
  <c r="AN128" i="72" s="1"/>
  <c r="AB51" i="72"/>
  <c r="AB52" i="72" s="1"/>
  <c r="AB61" i="72"/>
  <c r="AB62" i="72" s="1"/>
  <c r="AB67" i="72"/>
  <c r="AB68" i="72" s="1"/>
  <c r="AB71" i="72"/>
  <c r="AB72" i="72" s="1"/>
  <c r="AB89" i="72"/>
  <c r="AB90" i="72" s="1"/>
  <c r="AB91" i="72"/>
  <c r="AB92" i="72" s="1"/>
  <c r="AB99" i="72"/>
  <c r="AB100" i="72" s="1"/>
  <c r="AB103" i="72"/>
  <c r="AB104" i="72" s="1"/>
  <c r="AB111" i="72"/>
  <c r="AB112" i="72" s="1"/>
  <c r="AB113" i="72"/>
  <c r="AB114" i="72" s="1"/>
  <c r="AB115" i="72"/>
  <c r="AB116" i="72" s="1"/>
  <c r="P61" i="72"/>
  <c r="P62" i="72" s="1"/>
  <c r="P53" i="72"/>
  <c r="P54" i="72" s="1"/>
  <c r="P65" i="72"/>
  <c r="P66" i="72" s="1"/>
  <c r="P83" i="72"/>
  <c r="P84" i="72" s="1"/>
  <c r="P99" i="72"/>
  <c r="P100" i="72" s="1"/>
  <c r="P103" i="72"/>
  <c r="P104" i="72" s="1"/>
  <c r="P107" i="72"/>
  <c r="P108" i="72" s="1"/>
  <c r="P111" i="72"/>
  <c r="P112" i="72" s="1"/>
  <c r="P115" i="72"/>
  <c r="P116" i="72" s="1"/>
  <c r="AV67" i="72"/>
  <c r="AV68" i="72" s="1"/>
  <c r="AV65" i="72"/>
  <c r="AV66" i="72" s="1"/>
  <c r="AV75" i="72"/>
  <c r="AV76" i="72" s="1"/>
  <c r="AB131" i="72"/>
  <c r="AB132" i="72" s="1"/>
  <c r="P129" i="72"/>
  <c r="P130" i="72" s="1"/>
  <c r="L73" i="72"/>
  <c r="L74" i="72" s="1"/>
  <c r="L67" i="72"/>
  <c r="L68" i="72" s="1"/>
  <c r="L63" i="72"/>
  <c r="L64" i="72" s="1"/>
  <c r="L42" i="72"/>
  <c r="L45" i="72"/>
  <c r="L46" i="72" s="1"/>
  <c r="L75" i="72"/>
  <c r="L76" i="72" s="1"/>
  <c r="L77" i="72"/>
  <c r="L78" i="72" s="1"/>
  <c r="L97" i="72"/>
  <c r="L98" i="72" s="1"/>
  <c r="L105" i="72"/>
  <c r="L106" i="72" s="1"/>
  <c r="BH57" i="72"/>
  <c r="BH58" i="72" s="1"/>
  <c r="AV69" i="72"/>
  <c r="AV70" i="72" s="1"/>
  <c r="FE75" i="72"/>
  <c r="FE76" i="72" s="1"/>
  <c r="AV55" i="72"/>
  <c r="AV56" i="72" s="1"/>
  <c r="P121" i="72"/>
  <c r="P122" i="72" s="1"/>
  <c r="L115" i="72"/>
  <c r="L116" i="72" s="1"/>
  <c r="AB109" i="72"/>
  <c r="AB110" i="72" s="1"/>
  <c r="P109" i="72"/>
  <c r="P110" i="72" s="1"/>
  <c r="AB107" i="72"/>
  <c r="AB108" i="72" s="1"/>
  <c r="AB95" i="72"/>
  <c r="AB96" i="72" s="1"/>
  <c r="L85" i="72"/>
  <c r="L86" i="72" s="1"/>
  <c r="AB81" i="72"/>
  <c r="AB82" i="72" s="1"/>
  <c r="P81" i="72"/>
  <c r="P82" i="72" s="1"/>
  <c r="P79" i="72"/>
  <c r="P80" i="72" s="1"/>
  <c r="GG77" i="72"/>
  <c r="GG78" i="72" s="1"/>
  <c r="AV45" i="72"/>
  <c r="AV46" i="72" s="1"/>
  <c r="AV61" i="72"/>
  <c r="AV62" i="72" s="1"/>
  <c r="AV63" i="72"/>
  <c r="AV64" i="72" s="1"/>
  <c r="AV53" i="72"/>
  <c r="AV54" i="72" s="1"/>
  <c r="AV51" i="72"/>
  <c r="AV52" i="72" s="1"/>
  <c r="FE57" i="72"/>
  <c r="FE58" i="72" s="1"/>
  <c r="CF133" i="72"/>
  <c r="CF134" i="72" s="1"/>
  <c r="AB129" i="72"/>
  <c r="AB130" i="72" s="1"/>
  <c r="AB123" i="72"/>
  <c r="AB124" i="72" s="1"/>
  <c r="P123" i="72"/>
  <c r="P124" i="72" s="1"/>
  <c r="L121" i="72"/>
  <c r="L122" i="72" s="1"/>
  <c r="AB119" i="72"/>
  <c r="AB120" i="72" s="1"/>
  <c r="AB117" i="72"/>
  <c r="AB118" i="72" s="1"/>
  <c r="P117" i="72"/>
  <c r="P118" i="72" s="1"/>
  <c r="P113" i="72"/>
  <c r="P114" i="72" s="1"/>
  <c r="AB105" i="72"/>
  <c r="AB106" i="72" s="1"/>
  <c r="P105" i="72"/>
  <c r="P106" i="72" s="1"/>
  <c r="L103" i="72"/>
  <c r="L104" i="72" s="1"/>
  <c r="AB101" i="72"/>
  <c r="AB102" i="72" s="1"/>
  <c r="P101" i="72"/>
  <c r="P102" i="72" s="1"/>
  <c r="L99" i="72"/>
  <c r="L100" i="72" s="1"/>
  <c r="L95" i="72"/>
  <c r="L96" i="72" s="1"/>
  <c r="L93" i="72"/>
  <c r="L94" i="72" s="1"/>
  <c r="AB83" i="72"/>
  <c r="AB84" i="72" s="1"/>
  <c r="P69" i="72"/>
  <c r="P70" i="72" s="1"/>
  <c r="AJ135" i="72"/>
  <c r="AJ136" i="72" s="1"/>
  <c r="AJ49" i="72"/>
  <c r="AJ50" i="72" s="1"/>
  <c r="AJ57" i="72"/>
  <c r="AJ58" i="72" s="1"/>
  <c r="AJ63" i="72"/>
  <c r="AJ64" i="72" s="1"/>
  <c r="AJ65" i="72"/>
  <c r="AJ66" i="72" s="1"/>
  <c r="AJ81" i="72"/>
  <c r="AJ82" i="72" s="1"/>
  <c r="AJ93" i="72"/>
  <c r="AJ94" i="72" s="1"/>
  <c r="AJ101" i="72"/>
  <c r="AJ102" i="72" s="1"/>
  <c r="AJ109" i="72"/>
  <c r="AJ110" i="72" s="1"/>
  <c r="D131" i="72"/>
  <c r="D132" i="72" s="1"/>
  <c r="D51" i="72"/>
  <c r="D52" i="72" s="1"/>
  <c r="D61" i="72"/>
  <c r="D62" i="72" s="1"/>
  <c r="D73" i="72"/>
  <c r="D74" i="72" s="1"/>
  <c r="D79" i="72"/>
  <c r="D80" i="72" s="1"/>
  <c r="D81" i="72"/>
  <c r="D82" i="72" s="1"/>
  <c r="D85" i="72"/>
  <c r="D86" i="72" s="1"/>
  <c r="D87" i="72"/>
  <c r="D88" i="72" s="1"/>
  <c r="D95" i="72"/>
  <c r="D96" i="72" s="1"/>
  <c r="D101" i="72"/>
  <c r="D102" i="72" s="1"/>
  <c r="D109" i="72"/>
  <c r="D110" i="72" s="1"/>
  <c r="P57" i="72"/>
  <c r="P58" i="72" s="1"/>
  <c r="H167" i="48"/>
  <c r="E61" i="70"/>
  <c r="E63" i="70" s="1"/>
  <c r="C207" i="65"/>
  <c r="G205" i="65" s="1"/>
  <c r="C390" i="64"/>
  <c r="G388" i="64" s="1"/>
  <c r="K26" i="55"/>
  <c r="AA25" i="55"/>
  <c r="AD38" i="55" s="1"/>
  <c r="AA26" i="55"/>
  <c r="AE26" i="55"/>
  <c r="BQ45" i="72"/>
  <c r="BR45" i="72" s="1"/>
  <c r="FD56" i="72"/>
  <c r="FF55" i="72"/>
  <c r="FY77" i="72"/>
  <c r="FY78" i="72" s="1"/>
  <c r="FY58" i="72"/>
  <c r="FX58" i="72"/>
  <c r="FY59" i="72"/>
  <c r="E137" i="65"/>
  <c r="D46" i="55"/>
  <c r="D47" i="55" s="1"/>
  <c r="D60" i="55"/>
  <c r="D61" i="55" s="1"/>
  <c r="D34" i="55"/>
  <c r="D35" i="55" s="1"/>
  <c r="D56" i="55"/>
  <c r="D57" i="55" s="1"/>
  <c r="D52" i="55"/>
  <c r="D53" i="55" s="1"/>
  <c r="D48" i="55"/>
  <c r="D49" i="55" s="1"/>
  <c r="D44" i="55"/>
  <c r="D45" i="55" s="1"/>
  <c r="D36" i="55"/>
  <c r="D37" i="55" s="1"/>
  <c r="D58" i="55"/>
  <c r="D59" i="55" s="1"/>
  <c r="D32" i="55"/>
  <c r="D33" i="55" s="1"/>
  <c r="E33" i="55" s="1"/>
  <c r="C34" i="55" s="1"/>
  <c r="D50" i="55"/>
  <c r="D51" i="55" s="1"/>
  <c r="D40" i="55"/>
  <c r="D41" i="55" s="1"/>
  <c r="D54" i="55"/>
  <c r="D55" i="55" s="1"/>
  <c r="D38" i="55"/>
  <c r="D39" i="55" s="1"/>
  <c r="D68" i="55"/>
  <c r="D69" i="55" s="1"/>
  <c r="D66" i="55"/>
  <c r="D67" i="55" s="1"/>
  <c r="D64" i="55"/>
  <c r="D65" i="55" s="1"/>
  <c r="GD57" i="72"/>
  <c r="GC77" i="72"/>
  <c r="GC78" i="72" s="1"/>
  <c r="GC59" i="72"/>
  <c r="GF58" i="72"/>
  <c r="GH57" i="72"/>
  <c r="GO61" i="72"/>
  <c r="GO62" i="72" s="1"/>
  <c r="GO63" i="72" s="1"/>
  <c r="GO60" i="72"/>
  <c r="CA50" i="72"/>
  <c r="CC50" i="72" s="1"/>
  <c r="CA51" i="72" s="1"/>
  <c r="AJ48" i="72"/>
  <c r="AK48" i="72" s="1"/>
  <c r="AI49" i="72" s="1"/>
  <c r="AK47" i="72"/>
  <c r="CI52" i="72"/>
  <c r="BX138" i="72"/>
  <c r="BX53" i="72"/>
  <c r="BX54" i="72" s="1"/>
  <c r="BX57" i="72"/>
  <c r="BX58" i="72" s="1"/>
  <c r="BX73" i="72"/>
  <c r="BX74" i="72" s="1"/>
  <c r="BX75" i="72"/>
  <c r="BX76" i="72" s="1"/>
  <c r="BX81" i="72"/>
  <c r="BX82" i="72" s="1"/>
  <c r="BX83" i="72"/>
  <c r="BX84" i="72" s="1"/>
  <c r="BX85" i="72"/>
  <c r="BX86" i="72" s="1"/>
  <c r="BX95" i="72"/>
  <c r="BX96" i="72" s="1"/>
  <c r="BX61" i="72"/>
  <c r="BX62" i="72" s="1"/>
  <c r="BX79" i="72"/>
  <c r="BX80" i="72" s="1"/>
  <c r="BX55" i="72"/>
  <c r="BX56" i="72" s="1"/>
  <c r="BX63" i="72"/>
  <c r="BX64" i="72" s="1"/>
  <c r="BX91" i="72"/>
  <c r="BX92" i="72" s="1"/>
  <c r="BX97" i="72"/>
  <c r="BX98" i="72" s="1"/>
  <c r="BX105" i="72"/>
  <c r="BX106" i="72" s="1"/>
  <c r="BX121" i="72"/>
  <c r="BX122" i="72" s="1"/>
  <c r="BX131" i="72"/>
  <c r="BX132" i="72" s="1"/>
  <c r="BX65" i="72"/>
  <c r="BX66" i="72" s="1"/>
  <c r="BX67" i="72"/>
  <c r="BX68" i="72" s="1"/>
  <c r="BX93" i="72"/>
  <c r="BX94" i="72" s="1"/>
  <c r="BX101" i="72"/>
  <c r="BX102" i="72" s="1"/>
  <c r="BX107" i="72"/>
  <c r="BX108" i="72" s="1"/>
  <c r="BX109" i="72"/>
  <c r="BX110" i="72" s="1"/>
  <c r="BX113" i="72"/>
  <c r="BX114" i="72" s="1"/>
  <c r="BX119" i="72"/>
  <c r="BX120" i="72" s="1"/>
  <c r="BX99" i="72"/>
  <c r="BX100" i="72" s="1"/>
  <c r="BX117" i="72"/>
  <c r="BX118" i="72" s="1"/>
  <c r="BX135" i="72"/>
  <c r="BX136" i="72" s="1"/>
  <c r="BX77" i="72"/>
  <c r="BX78" i="72" s="1"/>
  <c r="BX103" i="72"/>
  <c r="BX104" i="72" s="1"/>
  <c r="BX115" i="72"/>
  <c r="BX116" i="72" s="1"/>
  <c r="BX127" i="72"/>
  <c r="BX128" i="72" s="1"/>
  <c r="BX123" i="72"/>
  <c r="BX124" i="72" s="1"/>
  <c r="BX125" i="72"/>
  <c r="BX126" i="72" s="1"/>
  <c r="BX129" i="72"/>
  <c r="BX130" i="72" s="1"/>
  <c r="BX71" i="72"/>
  <c r="BX72" i="72" s="1"/>
  <c r="BX89" i="72"/>
  <c r="BX90" i="72" s="1"/>
  <c r="BX133" i="72"/>
  <c r="BX134" i="72" s="1"/>
  <c r="P36" i="55"/>
  <c r="P62" i="55"/>
  <c r="P63" i="55" s="1"/>
  <c r="P40" i="55"/>
  <c r="P41" i="55" s="1"/>
  <c r="P48" i="55"/>
  <c r="P49" i="55" s="1"/>
  <c r="P56" i="55"/>
  <c r="P57" i="55" s="1"/>
  <c r="P66" i="55"/>
  <c r="P67" i="55" s="1"/>
  <c r="P64" i="55"/>
  <c r="P65" i="55" s="1"/>
  <c r="P58" i="55"/>
  <c r="P59" i="55" s="1"/>
  <c r="P70" i="55"/>
  <c r="P71" i="55" s="1"/>
  <c r="P68" i="55"/>
  <c r="P69" i="55" s="1"/>
  <c r="P38" i="55"/>
  <c r="P39" i="55" s="1"/>
  <c r="P46" i="55"/>
  <c r="P47" i="55" s="1"/>
  <c r="P54" i="55"/>
  <c r="P55" i="55" s="1"/>
  <c r="AF44" i="55"/>
  <c r="AF45" i="55" s="1"/>
  <c r="AF62" i="55"/>
  <c r="AF63" i="55" s="1"/>
  <c r="AF64" i="55"/>
  <c r="AF65" i="55" s="1"/>
  <c r="AF56" i="55"/>
  <c r="AF57" i="55" s="1"/>
  <c r="AF48" i="55"/>
  <c r="AF49" i="55" s="1"/>
  <c r="AF46" i="55"/>
  <c r="AF47" i="55" s="1"/>
  <c r="AF70" i="55"/>
  <c r="AF71" i="55" s="1"/>
  <c r="AF58" i="55"/>
  <c r="AF59" i="55" s="1"/>
  <c r="AF52" i="55"/>
  <c r="AF53" i="55" s="1"/>
  <c r="GS60" i="72"/>
  <c r="GT60" i="72" s="1"/>
  <c r="GR61" i="72" s="1"/>
  <c r="GS61" i="72"/>
  <c r="GS62" i="72" s="1"/>
  <c r="GS63" i="72" s="1"/>
  <c r="GS64" i="72" s="1"/>
  <c r="GS79" i="72"/>
  <c r="GS80" i="72" s="1"/>
  <c r="CF137" i="72"/>
  <c r="CF138" i="72" s="1"/>
  <c r="CF53" i="72"/>
  <c r="CF54" i="72" s="1"/>
  <c r="CF57" i="72"/>
  <c r="CF58" i="72" s="1"/>
  <c r="CF67" i="72"/>
  <c r="CF68" i="72" s="1"/>
  <c r="CF71" i="72"/>
  <c r="CF72" i="72" s="1"/>
  <c r="CF77" i="72"/>
  <c r="CF78" i="72" s="1"/>
  <c r="CF87" i="72"/>
  <c r="CF88" i="72" s="1"/>
  <c r="CF93" i="72"/>
  <c r="CF94" i="72" s="1"/>
  <c r="CF61" i="72"/>
  <c r="CF62" i="72" s="1"/>
  <c r="CF65" i="72"/>
  <c r="CF66" i="72" s="1"/>
  <c r="CF69" i="72"/>
  <c r="CF70" i="72" s="1"/>
  <c r="CF89" i="72"/>
  <c r="CF90" i="72" s="1"/>
  <c r="CF91" i="72"/>
  <c r="CF92" i="72" s="1"/>
  <c r="CF55" i="72"/>
  <c r="CF56" i="72" s="1"/>
  <c r="CF103" i="72"/>
  <c r="CF104" i="72" s="1"/>
  <c r="CF117" i="72"/>
  <c r="CF118" i="72" s="1"/>
  <c r="CF125" i="72"/>
  <c r="CF126" i="72" s="1"/>
  <c r="CF127" i="72"/>
  <c r="CF128" i="72" s="1"/>
  <c r="CF81" i="72"/>
  <c r="CF82" i="72" s="1"/>
  <c r="CF83" i="72"/>
  <c r="CF84" i="72" s="1"/>
  <c r="CF99" i="72"/>
  <c r="CF100" i="72" s="1"/>
  <c r="CF111" i="72"/>
  <c r="CF112" i="72" s="1"/>
  <c r="CF115" i="72"/>
  <c r="CF116" i="72" s="1"/>
  <c r="CF123" i="72"/>
  <c r="CF124" i="72" s="1"/>
  <c r="CF129" i="72"/>
  <c r="CF130" i="72" s="1"/>
  <c r="CF109" i="72"/>
  <c r="CF110" i="72" s="1"/>
  <c r="CF73" i="72"/>
  <c r="CF74" i="72" s="1"/>
  <c r="CF95" i="72"/>
  <c r="CF96" i="72" s="1"/>
  <c r="CF105" i="72"/>
  <c r="CF106" i="72" s="1"/>
  <c r="CF113" i="72"/>
  <c r="CF114" i="72" s="1"/>
  <c r="CF131" i="72"/>
  <c r="CF132" i="72" s="1"/>
  <c r="CF135" i="72"/>
  <c r="CF136" i="72" s="1"/>
  <c r="BP75" i="72"/>
  <c r="BP76" i="72" s="1"/>
  <c r="BP49" i="72"/>
  <c r="BP50" i="72" s="1"/>
  <c r="FU59" i="72"/>
  <c r="FU60" i="72" s="1"/>
  <c r="FU77" i="72"/>
  <c r="FU78" i="72" s="1"/>
  <c r="BS48" i="72"/>
  <c r="AF105" i="72"/>
  <c r="AF106" i="72" s="1"/>
  <c r="AF119" i="72"/>
  <c r="AF120" i="72" s="1"/>
  <c r="X133" i="72"/>
  <c r="X134" i="72" s="1"/>
  <c r="X49" i="72"/>
  <c r="X50" i="72" s="1"/>
  <c r="X57" i="72"/>
  <c r="X58" i="72" s="1"/>
  <c r="X77" i="72"/>
  <c r="X78" i="72" s="1"/>
  <c r="X87" i="72"/>
  <c r="X88" i="72" s="1"/>
  <c r="X93" i="72"/>
  <c r="X94" i="72" s="1"/>
  <c r="X51" i="72"/>
  <c r="X52" i="72" s="1"/>
  <c r="X59" i="72"/>
  <c r="X60" i="72" s="1"/>
  <c r="X65" i="72"/>
  <c r="X66" i="72" s="1"/>
  <c r="X67" i="72"/>
  <c r="X68" i="72" s="1"/>
  <c r="X69" i="72"/>
  <c r="X70" i="72" s="1"/>
  <c r="X71" i="72"/>
  <c r="X72" i="72" s="1"/>
  <c r="X89" i="72"/>
  <c r="X90" i="72" s="1"/>
  <c r="X91" i="72"/>
  <c r="X92" i="72" s="1"/>
  <c r="X47" i="72"/>
  <c r="X48" i="72" s="1"/>
  <c r="X75" i="72"/>
  <c r="X76" i="72" s="1"/>
  <c r="X85" i="72"/>
  <c r="X86" i="72" s="1"/>
  <c r="X95" i="72"/>
  <c r="X96" i="72" s="1"/>
  <c r="X103" i="72"/>
  <c r="X104" i="72" s="1"/>
  <c r="X117" i="72"/>
  <c r="X118" i="72" s="1"/>
  <c r="X125" i="72"/>
  <c r="X126" i="72" s="1"/>
  <c r="X127" i="72"/>
  <c r="X128" i="72" s="1"/>
  <c r="X55" i="72"/>
  <c r="X56" i="72" s="1"/>
  <c r="X63" i="72"/>
  <c r="X64" i="72" s="1"/>
  <c r="X73" i="72"/>
  <c r="X74" i="72" s="1"/>
  <c r="X99" i="72"/>
  <c r="X100" i="72" s="1"/>
  <c r="X111" i="72"/>
  <c r="X112" i="72" s="1"/>
  <c r="X115" i="72"/>
  <c r="X116" i="72" s="1"/>
  <c r="X123" i="72"/>
  <c r="X124" i="72" s="1"/>
  <c r="X129" i="72"/>
  <c r="X130" i="72" s="1"/>
  <c r="H52" i="48"/>
  <c r="H104" i="48"/>
  <c r="H105" i="48" s="1"/>
  <c r="H107" i="48" s="1"/>
  <c r="H143" i="48"/>
  <c r="H144" i="48" s="1"/>
  <c r="H191" i="48"/>
  <c r="I21" i="54"/>
  <c r="I22" i="54" s="1"/>
  <c r="G238" i="65"/>
  <c r="BT48" i="72"/>
  <c r="BT55" i="72"/>
  <c r="BT56" i="72" s="1"/>
  <c r="BT79" i="72"/>
  <c r="BT80" i="72" s="1"/>
  <c r="BT49" i="72"/>
  <c r="BT50" i="72" s="1"/>
  <c r="BT67" i="72"/>
  <c r="BT68" i="72" s="1"/>
  <c r="BT71" i="72"/>
  <c r="BT72" i="72" s="1"/>
  <c r="BT77" i="72"/>
  <c r="BT78" i="72" s="1"/>
  <c r="BT87" i="72"/>
  <c r="BT88" i="72" s="1"/>
  <c r="BT93" i="72"/>
  <c r="BT94" i="72" s="1"/>
  <c r="BT53" i="72"/>
  <c r="BT54" i="72" s="1"/>
  <c r="BT65" i="72"/>
  <c r="BT66" i="72" s="1"/>
  <c r="BT75" i="72"/>
  <c r="BT76" i="72" s="1"/>
  <c r="BT85" i="72"/>
  <c r="BT86" i="72" s="1"/>
  <c r="BT95" i="72"/>
  <c r="BT96" i="72" s="1"/>
  <c r="BT101" i="72"/>
  <c r="BT102" i="72" s="1"/>
  <c r="BT107" i="72"/>
  <c r="BT108" i="72" s="1"/>
  <c r="BT109" i="72"/>
  <c r="BT110" i="72" s="1"/>
  <c r="BT113" i="72"/>
  <c r="BT114" i="72" s="1"/>
  <c r="BT119" i="72"/>
  <c r="BT120" i="72" s="1"/>
  <c r="BT69" i="72"/>
  <c r="BT70" i="72" s="1"/>
  <c r="BT73" i="72"/>
  <c r="BT74" i="72" s="1"/>
  <c r="BT103" i="72"/>
  <c r="BT104" i="72" s="1"/>
  <c r="BT117" i="72"/>
  <c r="BT118" i="72" s="1"/>
  <c r="BT125" i="72"/>
  <c r="BT126" i="72" s="1"/>
  <c r="BT127" i="72"/>
  <c r="BT128" i="72" s="1"/>
  <c r="CV73" i="72"/>
  <c r="CV74" i="72" s="1"/>
  <c r="CV75" i="72"/>
  <c r="CV76" i="72" s="1"/>
  <c r="CV83" i="72"/>
  <c r="CV84" i="72" s="1"/>
  <c r="CV95" i="72"/>
  <c r="CV96" i="72" s="1"/>
  <c r="O45" i="72"/>
  <c r="O46" i="72" s="1"/>
  <c r="AB133" i="72"/>
  <c r="AB134" i="72" s="1"/>
  <c r="AB79" i="72"/>
  <c r="AB80" i="72" s="1"/>
  <c r="AB47" i="72"/>
  <c r="AB48" i="72" s="1"/>
  <c r="AB55" i="72"/>
  <c r="AB56" i="72" s="1"/>
  <c r="AB77" i="72"/>
  <c r="AB78" i="72" s="1"/>
  <c r="AB87" i="72"/>
  <c r="AB88" i="72" s="1"/>
  <c r="AB93" i="72"/>
  <c r="AB94" i="72" s="1"/>
  <c r="H47" i="72"/>
  <c r="H48" i="72" s="1"/>
  <c r="H131" i="72"/>
  <c r="H132" i="72" s="1"/>
  <c r="H57" i="72"/>
  <c r="H58" i="72" s="1"/>
  <c r="H63" i="72"/>
  <c r="H64" i="72" s="1"/>
  <c r="H79" i="72"/>
  <c r="H80" i="72" s="1"/>
  <c r="H49" i="72"/>
  <c r="H50" i="72" s="1"/>
  <c r="H77" i="72"/>
  <c r="H78" i="72" s="1"/>
  <c r="H87" i="72"/>
  <c r="H88" i="72" s="1"/>
  <c r="H93" i="72"/>
  <c r="H94" i="72" s="1"/>
  <c r="P133" i="72"/>
  <c r="P134" i="72" s="1"/>
  <c r="P46" i="72"/>
  <c r="P77" i="72"/>
  <c r="P78" i="72" s="1"/>
  <c r="P87" i="72"/>
  <c r="P88" i="72" s="1"/>
  <c r="P93" i="72"/>
  <c r="P94" i="72" s="1"/>
  <c r="P47" i="72"/>
  <c r="P48" i="72" s="1"/>
  <c r="P55" i="72"/>
  <c r="P56" i="72" s="1"/>
  <c r="P71" i="72"/>
  <c r="P72" i="72" s="1"/>
  <c r="P89" i="72"/>
  <c r="P90" i="72" s="1"/>
  <c r="P91" i="72"/>
  <c r="P92" i="72" s="1"/>
  <c r="L51" i="72"/>
  <c r="L52" i="72" s="1"/>
  <c r="K41" i="72"/>
  <c r="K42" i="72" s="1"/>
  <c r="CJ140" i="72"/>
  <c r="AN63" i="72"/>
  <c r="AN64" i="72" s="1"/>
  <c r="AN135" i="72"/>
  <c r="AN136" i="72" s="1"/>
  <c r="E178" i="64"/>
  <c r="F180" i="64"/>
  <c r="I65" i="54"/>
  <c r="F172" i="64"/>
  <c r="AE25" i="55"/>
  <c r="H148" i="65"/>
  <c r="I148" i="65" s="1"/>
  <c r="H68" i="48"/>
  <c r="F33" i="70"/>
  <c r="G33" i="70" s="1"/>
  <c r="K25" i="55"/>
  <c r="F207" i="65"/>
  <c r="A16" i="64"/>
  <c r="A54" i="65" s="1"/>
  <c r="H208" i="48"/>
  <c r="H211" i="48" s="1"/>
  <c r="H174" i="48"/>
  <c r="H168" i="48"/>
  <c r="B88" i="65"/>
  <c r="L12" i="55"/>
  <c r="C26" i="55" s="1"/>
  <c r="AI25" i="55"/>
  <c r="G25" i="55"/>
  <c r="C25" i="55"/>
  <c r="W25" i="55"/>
  <c r="S25" i="55"/>
  <c r="H273" i="48"/>
  <c r="H288" i="48"/>
  <c r="F374" i="64"/>
  <c r="I28" i="54"/>
  <c r="I31" i="54" s="1"/>
  <c r="I41" i="54" s="1"/>
  <c r="I49" i="54"/>
  <c r="I38" i="54"/>
  <c r="H235" i="48"/>
  <c r="H173" i="48"/>
  <c r="H24" i="48"/>
  <c r="H51" i="48"/>
  <c r="H31" i="48"/>
  <c r="DK87" i="72"/>
  <c r="DG85" i="72"/>
  <c r="DC83" i="72"/>
  <c r="CY83" i="72"/>
  <c r="FJ55" i="72"/>
  <c r="FI56" i="72"/>
  <c r="FJ56" i="72" s="1"/>
  <c r="FH57" i="72" s="1"/>
  <c r="GP59" i="72"/>
  <c r="GN60" i="72"/>
  <c r="FU58" i="72"/>
  <c r="FV58" i="72" s="1"/>
  <c r="FV57" i="72"/>
  <c r="AW41" i="72"/>
  <c r="AX41" i="72" s="1"/>
  <c r="GP57" i="72"/>
  <c r="BH45" i="72"/>
  <c r="BH46" i="72" s="1"/>
  <c r="BH75" i="72"/>
  <c r="BH76" i="72" s="1"/>
  <c r="BH55" i="72"/>
  <c r="BH56" i="72" s="1"/>
  <c r="BH47" i="72"/>
  <c r="BH48" i="72" s="1"/>
  <c r="BH59" i="72"/>
  <c r="BH60" i="72" s="1"/>
  <c r="BH43" i="72"/>
  <c r="BH53" i="72"/>
  <c r="BH54" i="72" s="1"/>
  <c r="BH69" i="72"/>
  <c r="BH70" i="72" s="1"/>
  <c r="BH51" i="72"/>
  <c r="BH52" i="72" s="1"/>
  <c r="FN56" i="72"/>
  <c r="FL57" i="72" s="1"/>
  <c r="FP56" i="72"/>
  <c r="GJ58" i="72"/>
  <c r="GL58" i="72" s="1"/>
  <c r="GJ59" i="72" s="1"/>
  <c r="GL57" i="72"/>
  <c r="GR62" i="72"/>
  <c r="GK77" i="72"/>
  <c r="GK78" i="72" s="1"/>
  <c r="GK59" i="72"/>
  <c r="AZ45" i="72"/>
  <c r="AZ46" i="72" s="1"/>
  <c r="AZ59" i="72"/>
  <c r="AZ60" i="72" s="1"/>
  <c r="AZ63" i="72"/>
  <c r="AZ64" i="72" s="1"/>
  <c r="AZ55" i="72"/>
  <c r="AZ56" i="72" s="1"/>
  <c r="AZ43" i="72"/>
  <c r="AZ44" i="72" s="1"/>
  <c r="AZ65" i="72"/>
  <c r="AZ66" i="72" s="1"/>
  <c r="AZ41" i="72"/>
  <c r="AZ42" i="72" s="1"/>
  <c r="AZ53" i="72"/>
  <c r="AZ54" i="72" s="1"/>
  <c r="AZ67" i="72"/>
  <c r="AZ68" i="72" s="1"/>
  <c r="AZ57" i="72"/>
  <c r="AZ58" i="72" s="1"/>
  <c r="AZ71" i="72"/>
  <c r="AZ72" i="72" s="1"/>
  <c r="BH61" i="72"/>
  <c r="BH62" i="72" s="1"/>
  <c r="BH67" i="72"/>
  <c r="BH68" i="72" s="1"/>
  <c r="AY42" i="72"/>
  <c r="FM75" i="72"/>
  <c r="FM76" i="72" s="1"/>
  <c r="FM57" i="72"/>
  <c r="FM58" i="72" s="1"/>
  <c r="FM59" i="72"/>
  <c r="GT59" i="72"/>
  <c r="CV63" i="72"/>
  <c r="CV64" i="72" s="1"/>
  <c r="CV71" i="72"/>
  <c r="CV72" i="72" s="1"/>
  <c r="CV77" i="72"/>
  <c r="CV78" i="72" s="1"/>
  <c r="CV81" i="72"/>
  <c r="CV82" i="72" s="1"/>
  <c r="CV85" i="72"/>
  <c r="CV86" i="72" s="1"/>
  <c r="CV89" i="72"/>
  <c r="CV90" i="72" s="1"/>
  <c r="CV61" i="72"/>
  <c r="CV62" i="72" s="1"/>
  <c r="CV69" i="72"/>
  <c r="CV70" i="72" s="1"/>
  <c r="CV79" i="72"/>
  <c r="CV80" i="72" s="1"/>
  <c r="CV93" i="72"/>
  <c r="CV94" i="72" s="1"/>
  <c r="CV97" i="72"/>
  <c r="CV98" i="72" s="1"/>
  <c r="CQ59" i="72"/>
  <c r="CQ31" i="72"/>
  <c r="CR59" i="72" s="1"/>
  <c r="CM59" i="72"/>
  <c r="CM31" i="72"/>
  <c r="CN59" i="72" s="1"/>
  <c r="AQ31" i="72"/>
  <c r="AQ47" i="72"/>
  <c r="S31" i="72"/>
  <c r="S43" i="72"/>
  <c r="AN71" i="72"/>
  <c r="AN72" i="72" s="1"/>
  <c r="L69" i="72"/>
  <c r="L70" i="72" s="1"/>
  <c r="AN67" i="72"/>
  <c r="AN68" i="72" s="1"/>
  <c r="H67" i="72"/>
  <c r="H68" i="72" s="1"/>
  <c r="L65" i="72"/>
  <c r="L66" i="72" s="1"/>
  <c r="CJ53" i="72"/>
  <c r="CJ54" i="72" s="1"/>
  <c r="CJ61" i="72"/>
  <c r="CJ62" i="72" s="1"/>
  <c r="CF51" i="72"/>
  <c r="CF52" i="72" s="1"/>
  <c r="CF59" i="72"/>
  <c r="CF60" i="72" s="1"/>
  <c r="CF63" i="72"/>
  <c r="CF64" i="72" s="1"/>
  <c r="CB51" i="72"/>
  <c r="CB52" i="72" s="1"/>
  <c r="CB59" i="72"/>
  <c r="CB60" i="72" s="1"/>
  <c r="BX51" i="72"/>
  <c r="BX59" i="72"/>
  <c r="BX60" i="72" s="1"/>
  <c r="BT51" i="72"/>
  <c r="BT52" i="72" s="1"/>
  <c r="BT59" i="72"/>
  <c r="BT60" i="72" s="1"/>
  <c r="X53" i="72"/>
  <c r="X54" i="72" s="1"/>
  <c r="X61" i="72"/>
  <c r="X62" i="72" s="1"/>
  <c r="L53" i="72"/>
  <c r="L54" i="72" s="1"/>
  <c r="L47" i="72"/>
  <c r="L48" i="72" s="1"/>
  <c r="AN49" i="72"/>
  <c r="AN57" i="72"/>
  <c r="AN58" i="72" s="1"/>
  <c r="AJ51" i="72"/>
  <c r="AJ52" i="72" s="1"/>
  <c r="AJ59" i="72"/>
  <c r="AJ60" i="72" s="1"/>
  <c r="AB49" i="72"/>
  <c r="AB50" i="72" s="1"/>
  <c r="AB57" i="72"/>
  <c r="AB58" i="72" s="1"/>
  <c r="AB59" i="72"/>
  <c r="AB60" i="72" s="1"/>
  <c r="AB63" i="72"/>
  <c r="AB64" i="72" s="1"/>
  <c r="L49" i="72"/>
  <c r="L50" i="72" s="1"/>
  <c r="L57" i="72"/>
  <c r="L58" i="72" s="1"/>
  <c r="L59" i="72"/>
  <c r="L60" i="72" s="1"/>
  <c r="L61" i="72"/>
  <c r="L62" i="72" s="1"/>
  <c r="H45" i="72"/>
  <c r="H53" i="72"/>
  <c r="H54" i="72" s="1"/>
  <c r="H61" i="72"/>
  <c r="H62" i="72" s="1"/>
  <c r="D47" i="72"/>
  <c r="D48" i="72" s="1"/>
  <c r="D55" i="72"/>
  <c r="D56" i="72" s="1"/>
  <c r="P51" i="72"/>
  <c r="P52" i="72" s="1"/>
  <c r="P59" i="72"/>
  <c r="P60" i="72" s="1"/>
  <c r="GX75" i="72"/>
  <c r="GV76" i="72"/>
  <c r="GX76" i="72" s="1"/>
  <c r="IC31" i="72"/>
  <c r="I37" i="54"/>
  <c r="I293" i="93" l="1"/>
  <c r="I15" i="93" s="1"/>
  <c r="I70" i="93"/>
  <c r="I11" i="93" s="1"/>
  <c r="FQ64" i="72"/>
  <c r="FQ65" i="72"/>
  <c r="FQ66" i="72" s="1"/>
  <c r="FQ67" i="72" s="1"/>
  <c r="FQ68" i="72" s="1"/>
  <c r="FQ69" i="72" s="1"/>
  <c r="FQ70" i="72" s="1"/>
  <c r="FQ71" i="72" s="1"/>
  <c r="FQ72" i="72" s="1"/>
  <c r="FQ73" i="72" s="1"/>
  <c r="FQ74" i="72" s="1"/>
  <c r="M42" i="72"/>
  <c r="AF55" i="72"/>
  <c r="AF56" i="72" s="1"/>
  <c r="FQ60" i="72"/>
  <c r="FR55" i="72"/>
  <c r="FR56" i="72"/>
  <c r="FP57" i="72" s="1"/>
  <c r="GG61" i="72"/>
  <c r="GG62" i="72" s="1"/>
  <c r="GG63" i="72" s="1"/>
  <c r="GG65" i="72" s="1"/>
  <c r="GG66" i="72" s="1"/>
  <c r="GG67" i="72" s="1"/>
  <c r="GG68" i="72" s="1"/>
  <c r="GG69" i="72" s="1"/>
  <c r="GG70" i="72" s="1"/>
  <c r="GG71" i="72" s="1"/>
  <c r="GG72" i="72" s="1"/>
  <c r="GG73" i="72" s="1"/>
  <c r="GG74" i="72" s="1"/>
  <c r="GG75" i="72" s="1"/>
  <c r="GG76" i="72" s="1"/>
  <c r="AF93" i="72"/>
  <c r="AF94" i="72" s="1"/>
  <c r="AF45" i="72"/>
  <c r="T131" i="72"/>
  <c r="T43" i="72"/>
  <c r="I44" i="72"/>
  <c r="G45" i="72" s="1"/>
  <c r="G46" i="72" s="1"/>
  <c r="AR135" i="72"/>
  <c r="AR136" i="72" s="1"/>
  <c r="AR47" i="72"/>
  <c r="AR48" i="72" s="1"/>
  <c r="IE61" i="72"/>
  <c r="IE62" i="72" s="1"/>
  <c r="ID61" i="72"/>
  <c r="H215" i="48"/>
  <c r="H213" i="48"/>
  <c r="E374" i="64"/>
  <c r="E173" i="65"/>
  <c r="AF113" i="72"/>
  <c r="AF114" i="72" s="1"/>
  <c r="AF95" i="72"/>
  <c r="AF96" i="72" s="1"/>
  <c r="AF47" i="72"/>
  <c r="AF48" i="72" s="1"/>
  <c r="AF101" i="72"/>
  <c r="AF102" i="72" s="1"/>
  <c r="AF77" i="72"/>
  <c r="AF78" i="72" s="1"/>
  <c r="AF81" i="72"/>
  <c r="AF82" i="72" s="1"/>
  <c r="FI61" i="72"/>
  <c r="FI62" i="72" s="1"/>
  <c r="FI63" i="72" s="1"/>
  <c r="AF111" i="72"/>
  <c r="AF112" i="72" s="1"/>
  <c r="AF125" i="72"/>
  <c r="AF126" i="72" s="1"/>
  <c r="AF99" i="72"/>
  <c r="AF100" i="72" s="1"/>
  <c r="AF129" i="72"/>
  <c r="AF130" i="72" s="1"/>
  <c r="AF97" i="72"/>
  <c r="AF98" i="72" s="1"/>
  <c r="AF123" i="72"/>
  <c r="AF124" i="72" s="1"/>
  <c r="AF61" i="72"/>
  <c r="AF62" i="72" s="1"/>
  <c r="GS65" i="72"/>
  <c r="GS66" i="72" s="1"/>
  <c r="GS67" i="72" s="1"/>
  <c r="GS68" i="72" s="1"/>
  <c r="GS69" i="72" s="1"/>
  <c r="GS70" i="72" s="1"/>
  <c r="GS71" i="72" s="1"/>
  <c r="GS72" i="72" s="1"/>
  <c r="GS73" i="72" s="1"/>
  <c r="GS74" i="72" s="1"/>
  <c r="GS75" i="72" s="1"/>
  <c r="GS77" i="72" s="1"/>
  <c r="AF67" i="72"/>
  <c r="AF68" i="72" s="1"/>
  <c r="AF65" i="72"/>
  <c r="AF66" i="72" s="1"/>
  <c r="AF71" i="72"/>
  <c r="AF72" i="72" s="1"/>
  <c r="AF75" i="72"/>
  <c r="AF76" i="72" s="1"/>
  <c r="AG42" i="55"/>
  <c r="AF127" i="72"/>
  <c r="AF128" i="72" s="1"/>
  <c r="AF103" i="72"/>
  <c r="AF104" i="72" s="1"/>
  <c r="I17" i="93"/>
  <c r="G17" i="85"/>
  <c r="FZ57" i="72"/>
  <c r="E32" i="55"/>
  <c r="F32" i="55" s="1"/>
  <c r="AM32" i="55" s="1"/>
  <c r="AO32" i="55" s="1"/>
  <c r="AO74" i="55" s="1"/>
  <c r="GH58" i="72"/>
  <c r="GF59" i="72" s="1"/>
  <c r="GC58" i="72"/>
  <c r="GD58" i="72" s="1"/>
  <c r="FE65" i="72"/>
  <c r="FE66" i="72" s="1"/>
  <c r="FE67" i="72" s="1"/>
  <c r="FE68" i="72" s="1"/>
  <c r="FE69" i="72" s="1"/>
  <c r="FE70" i="72" s="1"/>
  <c r="FE71" i="72" s="1"/>
  <c r="FE72" i="72" s="1"/>
  <c r="FE73" i="72" s="1"/>
  <c r="FE74" i="72" s="1"/>
  <c r="BA42" i="72"/>
  <c r="AY43" i="72" s="1"/>
  <c r="I76" i="54"/>
  <c r="I80" i="54" s="1"/>
  <c r="H249" i="48"/>
  <c r="H251" i="48" s="1"/>
  <c r="T37" i="55"/>
  <c r="U37" i="55" s="1"/>
  <c r="S38" i="55" s="1"/>
  <c r="U36" i="55"/>
  <c r="V36" i="55" s="1"/>
  <c r="I66" i="54"/>
  <c r="I67" i="54"/>
  <c r="I71" i="54"/>
  <c r="I81" i="54"/>
  <c r="K39" i="55"/>
  <c r="M39" i="55" s="1"/>
  <c r="K40" i="55" s="1"/>
  <c r="M38" i="55"/>
  <c r="N38" i="55" s="1"/>
  <c r="AF53" i="72"/>
  <c r="AF54" i="72" s="1"/>
  <c r="FU61" i="72"/>
  <c r="FU62" i="72" s="1"/>
  <c r="FU63" i="72" s="1"/>
  <c r="FU65" i="72" s="1"/>
  <c r="FU66" i="72" s="1"/>
  <c r="FU67" i="72" s="1"/>
  <c r="FU68" i="72" s="1"/>
  <c r="FU69" i="72" s="1"/>
  <c r="FU70" i="72" s="1"/>
  <c r="FU71" i="72" s="1"/>
  <c r="FU72" i="72" s="1"/>
  <c r="FU73" i="72" s="1"/>
  <c r="FU74" i="72" s="1"/>
  <c r="FU75" i="72" s="1"/>
  <c r="FU76" i="72" s="1"/>
  <c r="AF69" i="72"/>
  <c r="AF70" i="72" s="1"/>
  <c r="AF109" i="72"/>
  <c r="AF110" i="72" s="1"/>
  <c r="AF131" i="72"/>
  <c r="AF132" i="72" s="1"/>
  <c r="AF91" i="72"/>
  <c r="AF92" i="72" s="1"/>
  <c r="AF49" i="72"/>
  <c r="AF50" i="72" s="1"/>
  <c r="AF85" i="72"/>
  <c r="AF86" i="72" s="1"/>
  <c r="AF73" i="72"/>
  <c r="AF74" i="72" s="1"/>
  <c r="AF133" i="72"/>
  <c r="AF134" i="72" s="1"/>
  <c r="M36" i="55"/>
  <c r="N36" i="55" s="1"/>
  <c r="CC49" i="72"/>
  <c r="AF117" i="72"/>
  <c r="AF118" i="72" s="1"/>
  <c r="DO136" i="72"/>
  <c r="DQ136" i="72" s="1"/>
  <c r="DO137" i="72" s="1"/>
  <c r="DO138" i="72" s="1"/>
  <c r="DQ138" i="72" s="1"/>
  <c r="DQ135" i="72"/>
  <c r="AK42" i="55"/>
  <c r="AL42" i="55" s="1"/>
  <c r="FF56" i="72"/>
  <c r="FD57" i="72" s="1"/>
  <c r="I36" i="55"/>
  <c r="J36" i="55" s="1"/>
  <c r="G37" i="55"/>
  <c r="I37" i="55" s="1"/>
  <c r="G38" i="55" s="1"/>
  <c r="Y38" i="55"/>
  <c r="Z38" i="55" s="1"/>
  <c r="X39" i="55"/>
  <c r="Y39" i="55" s="1"/>
  <c r="W40" i="55" s="1"/>
  <c r="AG45" i="72"/>
  <c r="AF59" i="72"/>
  <c r="AF60" i="72" s="1"/>
  <c r="AF107" i="72"/>
  <c r="AF108" i="72" s="1"/>
  <c r="AF121" i="72"/>
  <c r="AF122" i="72" s="1"/>
  <c r="AF87" i="72"/>
  <c r="AF88" i="72" s="1"/>
  <c r="AF79" i="72"/>
  <c r="AF80" i="72" s="1"/>
  <c r="AF83" i="72"/>
  <c r="AF84" i="72" s="1"/>
  <c r="AF63" i="72"/>
  <c r="AF64" i="72" s="1"/>
  <c r="AK43" i="55"/>
  <c r="AI44" i="55" s="1"/>
  <c r="A9" i="64"/>
  <c r="G26" i="55"/>
  <c r="H169" i="48"/>
  <c r="G33" i="65" s="1"/>
  <c r="H33" i="65" s="1"/>
  <c r="EA112" i="72"/>
  <c r="EC112" i="72" s="1"/>
  <c r="EC111" i="72"/>
  <c r="DW109" i="72"/>
  <c r="DS111" i="72"/>
  <c r="BU48" i="72"/>
  <c r="BS49" i="72" s="1"/>
  <c r="BS50" i="72" s="1"/>
  <c r="BU50" i="72" s="1"/>
  <c r="BS51" i="72" s="1"/>
  <c r="BM45" i="72"/>
  <c r="BN45" i="72" s="1"/>
  <c r="BL46" i="72"/>
  <c r="BM46" i="72" s="1"/>
  <c r="GP60" i="72"/>
  <c r="GN61" i="72" s="1"/>
  <c r="GN62" i="72" s="1"/>
  <c r="GP62" i="72" s="1"/>
  <c r="GN63" i="72" s="1"/>
  <c r="CK52" i="72"/>
  <c r="CI53" i="72" s="1"/>
  <c r="CI54" i="72" s="1"/>
  <c r="CK54" i="72" s="1"/>
  <c r="CI55" i="72" s="1"/>
  <c r="AF57" i="72"/>
  <c r="AF58" i="72" s="1"/>
  <c r="AF89" i="72"/>
  <c r="AF90" i="72" s="1"/>
  <c r="AF115" i="72"/>
  <c r="AF116" i="72" s="1"/>
  <c r="M41" i="72"/>
  <c r="K43" i="72" s="1"/>
  <c r="M43" i="72" s="1"/>
  <c r="BO47" i="72"/>
  <c r="BO48" i="72" s="1"/>
  <c r="BQ48" i="72" s="1"/>
  <c r="BR46" i="72"/>
  <c r="BD44" i="72"/>
  <c r="BE44" i="72" s="1"/>
  <c r="BE43" i="72"/>
  <c r="BF43" i="72" s="1"/>
  <c r="GT61" i="72"/>
  <c r="GT62" i="72"/>
  <c r="GR63" i="72" s="1"/>
  <c r="GR64" i="72" s="1"/>
  <c r="GT64" i="72" s="1"/>
  <c r="GR65" i="72" s="1"/>
  <c r="CK51" i="72"/>
  <c r="AN48" i="72"/>
  <c r="AO48" i="72" s="1"/>
  <c r="AM49" i="72" s="1"/>
  <c r="AM50" i="72" s="1"/>
  <c r="AO47" i="72"/>
  <c r="H217" i="48"/>
  <c r="GF60" i="72"/>
  <c r="GH60" i="72" s="1"/>
  <c r="GF61" i="72" s="1"/>
  <c r="GH59" i="72"/>
  <c r="Q46" i="72"/>
  <c r="O47" i="72" s="1"/>
  <c r="O48" i="72" s="1"/>
  <c r="Q48" i="72" s="1"/>
  <c r="O49" i="72" s="1"/>
  <c r="C35" i="55"/>
  <c r="E35" i="55" s="1"/>
  <c r="C36" i="55" s="1"/>
  <c r="E34" i="55"/>
  <c r="F34" i="55" s="1"/>
  <c r="GC61" i="72"/>
  <c r="GC62" i="72" s="1"/>
  <c r="GC63" i="72" s="1"/>
  <c r="GC60" i="72"/>
  <c r="FY60" i="72"/>
  <c r="FY61" i="72"/>
  <c r="FY62" i="72" s="1"/>
  <c r="FY63" i="72" s="1"/>
  <c r="AC40" i="55"/>
  <c r="AD40" i="55" s="1"/>
  <c r="AA41" i="55"/>
  <c r="AC41" i="55" s="1"/>
  <c r="AA42" i="55" s="1"/>
  <c r="D44" i="72"/>
  <c r="E44" i="72" s="1"/>
  <c r="C45" i="72" s="1"/>
  <c r="C46" i="72" s="1"/>
  <c r="E46" i="72" s="1"/>
  <c r="C47" i="72" s="1"/>
  <c r="E43" i="72"/>
  <c r="Q45" i="72"/>
  <c r="AH43" i="55"/>
  <c r="AB46" i="72"/>
  <c r="AC46" i="72" s="1"/>
  <c r="AA47" i="72" s="1"/>
  <c r="AA48" i="72" s="1"/>
  <c r="AC48" i="72" s="1"/>
  <c r="AA49" i="72" s="1"/>
  <c r="AC45" i="72"/>
  <c r="GO64" i="72"/>
  <c r="GO65" i="72"/>
  <c r="GO66" i="72" s="1"/>
  <c r="GO67" i="72" s="1"/>
  <c r="GO68" i="72" s="1"/>
  <c r="GO69" i="72" s="1"/>
  <c r="GO70" i="72" s="1"/>
  <c r="GO71" i="72" s="1"/>
  <c r="GO72" i="72" s="1"/>
  <c r="GO73" i="72" s="1"/>
  <c r="GO74" i="72" s="1"/>
  <c r="GO75" i="72" s="1"/>
  <c r="GO76" i="72" s="1"/>
  <c r="FZ58" i="72"/>
  <c r="FX59" i="72" s="1"/>
  <c r="AG44" i="55"/>
  <c r="AH44" i="55" s="1"/>
  <c r="P37" i="55"/>
  <c r="Q37" i="55" s="1"/>
  <c r="O38" i="55" s="1"/>
  <c r="Q36" i="55"/>
  <c r="R36" i="55" s="1"/>
  <c r="BA41" i="72"/>
  <c r="BB41" i="72" s="1"/>
  <c r="AH41" i="55"/>
  <c r="AD39" i="55"/>
  <c r="BU47" i="72"/>
  <c r="CF50" i="72"/>
  <c r="CG50" i="72" s="1"/>
  <c r="CE51" i="72" s="1"/>
  <c r="CG51" i="72" s="1"/>
  <c r="CG49" i="72"/>
  <c r="BX50" i="72"/>
  <c r="BY50" i="72" s="1"/>
  <c r="BW51" i="72" s="1"/>
  <c r="BW52" i="72" s="1"/>
  <c r="BY49" i="72"/>
  <c r="AG45" i="55"/>
  <c r="AE46" i="55" s="1"/>
  <c r="F12" i="64"/>
  <c r="A10" i="64"/>
  <c r="N35" i="55"/>
  <c r="N39" i="55"/>
  <c r="N37" i="55"/>
  <c r="AH42" i="55"/>
  <c r="AH40" i="55"/>
  <c r="S26" i="55"/>
  <c r="V37" i="55" s="1"/>
  <c r="A17" i="64"/>
  <c r="F18" i="64"/>
  <c r="AI26" i="55"/>
  <c r="W26" i="55"/>
  <c r="O26" i="55"/>
  <c r="N34" i="55"/>
  <c r="J34" i="55"/>
  <c r="H275" i="48"/>
  <c r="AL40" i="55"/>
  <c r="H298" i="48"/>
  <c r="I39" i="54"/>
  <c r="I48" i="54" s="1"/>
  <c r="F71" i="55"/>
  <c r="F33" i="55"/>
  <c r="AM33" i="55" s="1"/>
  <c r="AN33" i="55" s="1"/>
  <c r="AN74" i="55" s="1"/>
  <c r="H175" i="48"/>
  <c r="H53" i="48"/>
  <c r="H25" i="48"/>
  <c r="H33" i="48" s="1"/>
  <c r="H67" i="48"/>
  <c r="DM87" i="72"/>
  <c r="DK88" i="72"/>
  <c r="DM88" i="72" s="1"/>
  <c r="DG86" i="72"/>
  <c r="DI86" i="72" s="1"/>
  <c r="DI85" i="72"/>
  <c r="DE83" i="72"/>
  <c r="DC84" i="72"/>
  <c r="DE84" i="72" s="1"/>
  <c r="DA83" i="72"/>
  <c r="CY84" i="72"/>
  <c r="DA84" i="72" s="1"/>
  <c r="H46" i="72"/>
  <c r="I46" i="72" s="1"/>
  <c r="G47" i="72" s="1"/>
  <c r="I45" i="72"/>
  <c r="S44" i="72"/>
  <c r="CN61" i="72"/>
  <c r="CN62" i="72" s="1"/>
  <c r="CN63" i="72"/>
  <c r="CN64" i="72" s="1"/>
  <c r="CN60" i="72"/>
  <c r="CN67" i="72"/>
  <c r="CN68" i="72" s="1"/>
  <c r="CN75" i="72"/>
  <c r="CN76" i="72" s="1"/>
  <c r="CN79" i="72"/>
  <c r="CN80" i="72" s="1"/>
  <c r="CN83" i="72"/>
  <c r="CN84" i="72" s="1"/>
  <c r="CN87" i="72"/>
  <c r="CN88" i="72" s="1"/>
  <c r="CN65" i="72"/>
  <c r="CN66" i="72" s="1"/>
  <c r="CN81" i="72"/>
  <c r="CN82" i="72" s="1"/>
  <c r="CN91" i="72"/>
  <c r="CN92" i="72" s="1"/>
  <c r="CN95" i="72"/>
  <c r="CN96" i="72" s="1"/>
  <c r="CN99" i="72"/>
  <c r="CN100" i="72" s="1"/>
  <c r="CN71" i="72"/>
  <c r="CN72" i="72" s="1"/>
  <c r="CN77" i="72"/>
  <c r="CN78" i="72" s="1"/>
  <c r="CN89" i="72"/>
  <c r="CN90" i="72" s="1"/>
  <c r="CN93" i="72"/>
  <c r="CN94" i="72" s="1"/>
  <c r="CN97" i="72"/>
  <c r="CN98" i="72" s="1"/>
  <c r="CN73" i="72"/>
  <c r="CN74" i="72" s="1"/>
  <c r="CN85" i="72"/>
  <c r="CN86" i="72" s="1"/>
  <c r="CN101" i="72"/>
  <c r="CN102" i="72" s="1"/>
  <c r="CN111" i="72"/>
  <c r="CN112" i="72" s="1"/>
  <c r="CN103" i="72"/>
  <c r="CN104" i="72" s="1"/>
  <c r="CN109" i="72"/>
  <c r="CN110" i="72" s="1"/>
  <c r="CN131" i="72"/>
  <c r="CN132" i="72" s="1"/>
  <c r="CN139" i="72"/>
  <c r="CN140" i="72" s="1"/>
  <c r="CN105" i="72"/>
  <c r="CN106" i="72" s="1"/>
  <c r="CN107" i="72"/>
  <c r="CN108" i="72" s="1"/>
  <c r="CN121" i="72"/>
  <c r="CN122" i="72" s="1"/>
  <c r="CN137" i="72"/>
  <c r="CN138" i="72" s="1"/>
  <c r="CN141" i="72"/>
  <c r="CN142" i="72" s="1"/>
  <c r="CN69" i="72"/>
  <c r="CN70" i="72" s="1"/>
  <c r="CN115" i="72"/>
  <c r="CN116" i="72" s="1"/>
  <c r="CN123" i="72"/>
  <c r="CN124" i="72" s="1"/>
  <c r="CN147" i="72"/>
  <c r="CN148" i="72" s="1"/>
  <c r="CN119" i="72"/>
  <c r="CN120" i="72" s="1"/>
  <c r="CN127" i="72"/>
  <c r="CN128" i="72" s="1"/>
  <c r="CN133" i="72"/>
  <c r="CN134" i="72" s="1"/>
  <c r="CN135" i="72"/>
  <c r="CN136" i="72" s="1"/>
  <c r="CN143" i="72"/>
  <c r="CN144" i="72" s="1"/>
  <c r="CN117" i="72"/>
  <c r="CN118" i="72" s="1"/>
  <c r="CN125" i="72"/>
  <c r="CN126" i="72" s="1"/>
  <c r="CN129" i="72"/>
  <c r="CN130" i="72" s="1"/>
  <c r="CN113" i="72"/>
  <c r="CN114" i="72" s="1"/>
  <c r="CN145" i="72"/>
  <c r="CN146" i="72" s="1"/>
  <c r="CW59" i="72"/>
  <c r="CV60" i="72"/>
  <c r="CW60" i="72" s="1"/>
  <c r="CU61" i="72" s="1"/>
  <c r="FL58" i="72"/>
  <c r="FN58" i="72" s="1"/>
  <c r="FN57" i="72"/>
  <c r="AN50" i="72"/>
  <c r="AO50" i="72" s="1"/>
  <c r="AM51" i="72" s="1"/>
  <c r="AR53" i="72"/>
  <c r="AR54" i="72" s="1"/>
  <c r="AR61" i="72"/>
  <c r="AR62" i="72" s="1"/>
  <c r="AR63" i="72"/>
  <c r="AR64" i="72" s="1"/>
  <c r="AR49" i="72"/>
  <c r="AR50" i="72" s="1"/>
  <c r="AR51" i="72"/>
  <c r="AR52" i="72" s="1"/>
  <c r="AR67" i="72"/>
  <c r="AR68" i="72" s="1"/>
  <c r="AR75" i="72"/>
  <c r="AR76" i="72" s="1"/>
  <c r="AR77" i="72"/>
  <c r="AR78" i="72" s="1"/>
  <c r="AR81" i="72"/>
  <c r="AR82" i="72" s="1"/>
  <c r="AR85" i="72"/>
  <c r="AR86" i="72" s="1"/>
  <c r="AR89" i="72"/>
  <c r="AR90" i="72" s="1"/>
  <c r="AR69" i="72"/>
  <c r="AR70" i="72" s="1"/>
  <c r="AR93" i="72"/>
  <c r="AR94" i="72" s="1"/>
  <c r="AR97" i="72"/>
  <c r="AR98" i="72" s="1"/>
  <c r="AR57" i="72"/>
  <c r="AR58" i="72" s="1"/>
  <c r="AR65" i="72"/>
  <c r="AR66" i="72" s="1"/>
  <c r="AR55" i="72"/>
  <c r="AR56" i="72" s="1"/>
  <c r="AR79" i="72"/>
  <c r="AR80" i="72" s="1"/>
  <c r="AR91" i="72"/>
  <c r="AR92" i="72" s="1"/>
  <c r="AR71" i="72"/>
  <c r="AR72" i="72" s="1"/>
  <c r="AR73" i="72"/>
  <c r="AR74" i="72" s="1"/>
  <c r="AR59" i="72"/>
  <c r="AR60" i="72" s="1"/>
  <c r="AR109" i="72"/>
  <c r="AR110" i="72" s="1"/>
  <c r="AR111" i="72"/>
  <c r="AR112" i="72" s="1"/>
  <c r="AR99" i="72"/>
  <c r="AR100" i="72" s="1"/>
  <c r="AR101" i="72"/>
  <c r="AR102" i="72" s="1"/>
  <c r="AR103" i="72"/>
  <c r="AR104" i="72" s="1"/>
  <c r="AR105" i="72"/>
  <c r="AR106" i="72" s="1"/>
  <c r="AR121" i="72"/>
  <c r="AR122" i="72" s="1"/>
  <c r="AR83" i="72"/>
  <c r="AR84" i="72" s="1"/>
  <c r="AR115" i="72"/>
  <c r="AR116" i="72" s="1"/>
  <c r="AR123" i="72"/>
  <c r="AR124" i="72" s="1"/>
  <c r="AR129" i="72"/>
  <c r="AR130" i="72" s="1"/>
  <c r="AR87" i="72"/>
  <c r="AR88" i="72" s="1"/>
  <c r="AR95" i="72"/>
  <c r="AR96" i="72" s="1"/>
  <c r="AR113" i="72"/>
  <c r="AR114" i="72" s="1"/>
  <c r="AR117" i="72"/>
  <c r="AR118" i="72" s="1"/>
  <c r="AR125" i="72"/>
  <c r="AR126" i="72" s="1"/>
  <c r="AR127" i="72"/>
  <c r="AR128" i="72" s="1"/>
  <c r="AR133" i="72"/>
  <c r="AR134" i="72" s="1"/>
  <c r="AR107" i="72"/>
  <c r="AR108" i="72" s="1"/>
  <c r="AR119" i="72"/>
  <c r="AR120" i="72" s="1"/>
  <c r="AR131" i="72"/>
  <c r="AR132" i="72" s="1"/>
  <c r="CM60" i="72"/>
  <c r="GK61" i="72"/>
  <c r="GK62" i="72" s="1"/>
  <c r="GK63" i="72" s="1"/>
  <c r="GK60" i="72"/>
  <c r="GJ60" i="72"/>
  <c r="GL59" i="72"/>
  <c r="AU43" i="72"/>
  <c r="AX42" i="72"/>
  <c r="FH58" i="72"/>
  <c r="FJ58" i="72" s="1"/>
  <c r="FJ57" i="72"/>
  <c r="X46" i="72"/>
  <c r="Y46" i="72" s="1"/>
  <c r="W47" i="72" s="1"/>
  <c r="Y45" i="72"/>
  <c r="BU49" i="72"/>
  <c r="CQ60" i="72"/>
  <c r="FU64" i="72"/>
  <c r="BQ47" i="72"/>
  <c r="BR47" i="72" s="1"/>
  <c r="AQ48" i="72"/>
  <c r="FM60" i="72"/>
  <c r="FM61" i="72"/>
  <c r="FM62" i="72" s="1"/>
  <c r="FM63" i="72" s="1"/>
  <c r="BI43" i="72"/>
  <c r="BJ43" i="72" s="1"/>
  <c r="BH44" i="72"/>
  <c r="BI44" i="72" s="1"/>
  <c r="BX52" i="72"/>
  <c r="T49" i="72"/>
  <c r="T50" i="72" s="1"/>
  <c r="T57" i="72"/>
  <c r="T58" i="72" s="1"/>
  <c r="T51" i="72"/>
  <c r="T52" i="72" s="1"/>
  <c r="T53" i="72"/>
  <c r="T54" i="72" s="1"/>
  <c r="T55" i="72"/>
  <c r="T56" i="72" s="1"/>
  <c r="T45" i="72"/>
  <c r="T46" i="72" s="1"/>
  <c r="T59" i="72"/>
  <c r="T60" i="72" s="1"/>
  <c r="T47" i="72"/>
  <c r="T48" i="72" s="1"/>
  <c r="T75" i="72"/>
  <c r="T76" i="72" s="1"/>
  <c r="T61" i="72"/>
  <c r="T62" i="72" s="1"/>
  <c r="T63" i="72"/>
  <c r="T64" i="72" s="1"/>
  <c r="T71" i="72"/>
  <c r="T72" i="72" s="1"/>
  <c r="T79" i="72"/>
  <c r="T80" i="72" s="1"/>
  <c r="T83" i="72"/>
  <c r="T84" i="72" s="1"/>
  <c r="T87" i="72"/>
  <c r="T88" i="72" s="1"/>
  <c r="T67" i="72"/>
  <c r="T68" i="72" s="1"/>
  <c r="T69" i="72"/>
  <c r="T70" i="72" s="1"/>
  <c r="T85" i="72"/>
  <c r="T86" i="72" s="1"/>
  <c r="T91" i="72"/>
  <c r="T92" i="72" s="1"/>
  <c r="T95" i="72"/>
  <c r="T96" i="72" s="1"/>
  <c r="T99" i="72"/>
  <c r="T100" i="72" s="1"/>
  <c r="T65" i="72"/>
  <c r="T66" i="72" s="1"/>
  <c r="T73" i="72"/>
  <c r="T74" i="72" s="1"/>
  <c r="T89" i="72"/>
  <c r="T90" i="72" s="1"/>
  <c r="T81" i="72"/>
  <c r="T82" i="72" s="1"/>
  <c r="T93" i="72"/>
  <c r="T94" i="72" s="1"/>
  <c r="T103" i="72"/>
  <c r="T104" i="72" s="1"/>
  <c r="T109" i="72"/>
  <c r="T110" i="72" s="1"/>
  <c r="T44" i="72"/>
  <c r="T77" i="72"/>
  <c r="T78" i="72" s="1"/>
  <c r="T97" i="72"/>
  <c r="T98" i="72" s="1"/>
  <c r="T101" i="72"/>
  <c r="T102" i="72" s="1"/>
  <c r="T111" i="72"/>
  <c r="T112" i="72" s="1"/>
  <c r="T132" i="72"/>
  <c r="T121" i="72"/>
  <c r="T122" i="72" s="1"/>
  <c r="T127" i="72"/>
  <c r="T128" i="72" s="1"/>
  <c r="T113" i="72"/>
  <c r="T114" i="72" s="1"/>
  <c r="T115" i="72"/>
  <c r="T116" i="72" s="1"/>
  <c r="T123" i="72"/>
  <c r="T124" i="72" s="1"/>
  <c r="T129" i="72"/>
  <c r="T130" i="72" s="1"/>
  <c r="T117" i="72"/>
  <c r="T118" i="72" s="1"/>
  <c r="T125" i="72"/>
  <c r="T126" i="72" s="1"/>
  <c r="T119" i="72"/>
  <c r="T120" i="72" s="1"/>
  <c r="T105" i="72"/>
  <c r="T106" i="72" s="1"/>
  <c r="T107" i="72"/>
  <c r="T108" i="72" s="1"/>
  <c r="CR61" i="72"/>
  <c r="CR62" i="72" s="1"/>
  <c r="CR67" i="72"/>
  <c r="CR68" i="72" s="1"/>
  <c r="CR71" i="72"/>
  <c r="CR72" i="72" s="1"/>
  <c r="CR75" i="72"/>
  <c r="CR76" i="72" s="1"/>
  <c r="CR73" i="72"/>
  <c r="CR74" i="72" s="1"/>
  <c r="CR87" i="72"/>
  <c r="CR88" i="72" s="1"/>
  <c r="CR89" i="72"/>
  <c r="CR90" i="72" s="1"/>
  <c r="CR69" i="72"/>
  <c r="CR70" i="72" s="1"/>
  <c r="CR60" i="72"/>
  <c r="CR63" i="72"/>
  <c r="CR64" i="72" s="1"/>
  <c r="CR85" i="72"/>
  <c r="CR86" i="72" s="1"/>
  <c r="CR65" i="72"/>
  <c r="CR66" i="72" s="1"/>
  <c r="CR81" i="72"/>
  <c r="CR82" i="72" s="1"/>
  <c r="CR95" i="72"/>
  <c r="CR96" i="72" s="1"/>
  <c r="CR101" i="72"/>
  <c r="CR102" i="72" s="1"/>
  <c r="CR105" i="72"/>
  <c r="CR106" i="72" s="1"/>
  <c r="CR109" i="72"/>
  <c r="CR110" i="72" s="1"/>
  <c r="CR113" i="72"/>
  <c r="CR114" i="72" s="1"/>
  <c r="CR97" i="72"/>
  <c r="CR98" i="72" s="1"/>
  <c r="CR103" i="72"/>
  <c r="CR104" i="72" s="1"/>
  <c r="CR115" i="72"/>
  <c r="CR116" i="72" s="1"/>
  <c r="CR119" i="72"/>
  <c r="CR120" i="72" s="1"/>
  <c r="CR123" i="72"/>
  <c r="CR124" i="72" s="1"/>
  <c r="CR83" i="72"/>
  <c r="CR84" i="72" s="1"/>
  <c r="CR91" i="72"/>
  <c r="CR92" i="72" s="1"/>
  <c r="CR111" i="72"/>
  <c r="CR112" i="72" s="1"/>
  <c r="CR117" i="72"/>
  <c r="CR118" i="72" s="1"/>
  <c r="CR121" i="72"/>
  <c r="CR122" i="72" s="1"/>
  <c r="CR125" i="72"/>
  <c r="CR126" i="72" s="1"/>
  <c r="CR129" i="72"/>
  <c r="CR130" i="72" s="1"/>
  <c r="CR135" i="72"/>
  <c r="CR136" i="72" s="1"/>
  <c r="CR141" i="72"/>
  <c r="CR142" i="72" s="1"/>
  <c r="CR145" i="72"/>
  <c r="CR146" i="72" s="1"/>
  <c r="CR79" i="72"/>
  <c r="CR80" i="72" s="1"/>
  <c r="CR127" i="72"/>
  <c r="CR128" i="72" s="1"/>
  <c r="CR133" i="72"/>
  <c r="CR134" i="72" s="1"/>
  <c r="CR143" i="72"/>
  <c r="CR144" i="72" s="1"/>
  <c r="CR93" i="72"/>
  <c r="CR94" i="72" s="1"/>
  <c r="CR99" i="72"/>
  <c r="CR100" i="72" s="1"/>
  <c r="CR107" i="72"/>
  <c r="CR108" i="72" s="1"/>
  <c r="CR147" i="72"/>
  <c r="CR148" i="72" s="1"/>
  <c r="CR77" i="72"/>
  <c r="CR78" i="72" s="1"/>
  <c r="CR137" i="72"/>
  <c r="CR138" i="72" s="1"/>
  <c r="CR139" i="72"/>
  <c r="CR140" i="72" s="1"/>
  <c r="CR131" i="72"/>
  <c r="CR132" i="72" s="1"/>
  <c r="K44" i="72"/>
  <c r="M44" i="72" s="1"/>
  <c r="K45" i="72" s="1"/>
  <c r="AI50" i="72"/>
  <c r="AK50" i="72" s="1"/>
  <c r="AI51" i="72" s="1"/>
  <c r="AK49" i="72"/>
  <c r="CA52" i="72"/>
  <c r="CC52" i="72" s="1"/>
  <c r="CA53" i="72" s="1"/>
  <c r="CC51" i="72"/>
  <c r="GB59" i="72"/>
  <c r="FP58" i="72"/>
  <c r="FR58" i="72" s="1"/>
  <c r="FP59" i="72" s="1"/>
  <c r="FR57" i="72"/>
  <c r="FT59" i="72"/>
  <c r="GV77" i="72"/>
  <c r="ID62" i="72"/>
  <c r="H214" i="48"/>
  <c r="GH61" i="72" l="1"/>
  <c r="GG64" i="72"/>
  <c r="CE52" i="72"/>
  <c r="CG52" i="72" s="1"/>
  <c r="CE53" i="72" s="1"/>
  <c r="FI65" i="72"/>
  <c r="FI66" i="72" s="1"/>
  <c r="FI67" i="72" s="1"/>
  <c r="FI68" i="72" s="1"/>
  <c r="FI69" i="72" s="1"/>
  <c r="FI70" i="72" s="1"/>
  <c r="FI71" i="72" s="1"/>
  <c r="FI72" i="72" s="1"/>
  <c r="FI73" i="72" s="1"/>
  <c r="FI74" i="72" s="1"/>
  <c r="FI64" i="72"/>
  <c r="GT63" i="72"/>
  <c r="GS76" i="72"/>
  <c r="GS78" i="72" s="1"/>
  <c r="Q47" i="72"/>
  <c r="F35" i="55"/>
  <c r="AF46" i="72"/>
  <c r="AG46" i="72" s="1"/>
  <c r="AE47" i="72" s="1"/>
  <c r="AE48" i="72" s="1"/>
  <c r="AG48" i="72" s="1"/>
  <c r="AE49" i="72" s="1"/>
  <c r="CK53" i="72"/>
  <c r="DQ137" i="72"/>
  <c r="E45" i="72"/>
  <c r="BY51" i="72"/>
  <c r="I82" i="54"/>
  <c r="S39" i="55"/>
  <c r="U39" i="55" s="1"/>
  <c r="S40" i="55" s="1"/>
  <c r="U38" i="55"/>
  <c r="V38" i="55" s="1"/>
  <c r="GL60" i="72"/>
  <c r="GJ61" i="72" s="1"/>
  <c r="BB42" i="72"/>
  <c r="Z39" i="55"/>
  <c r="AS48" i="72"/>
  <c r="AQ49" i="72" s="1"/>
  <c r="AS49" i="72" s="1"/>
  <c r="W41" i="55"/>
  <c r="Y41" i="55" s="1"/>
  <c r="W42" i="55" s="1"/>
  <c r="Y40" i="55"/>
  <c r="Z40" i="55" s="1"/>
  <c r="I38" i="55"/>
  <c r="J38" i="55" s="1"/>
  <c r="G39" i="55"/>
  <c r="I39" i="55" s="1"/>
  <c r="G40" i="55" s="1"/>
  <c r="GF62" i="72"/>
  <c r="GH62" i="72" s="1"/>
  <c r="GF63" i="72" s="1"/>
  <c r="GF64" i="72" s="1"/>
  <c r="GH64" i="72" s="1"/>
  <c r="J39" i="55"/>
  <c r="AK44" i="55"/>
  <c r="AL44" i="55" s="1"/>
  <c r="AI45" i="55"/>
  <c r="AK45" i="55" s="1"/>
  <c r="AI46" i="55" s="1"/>
  <c r="K41" i="55"/>
  <c r="M41" i="55" s="1"/>
  <c r="M40" i="55"/>
  <c r="N40" i="55" s="1"/>
  <c r="J35" i="55"/>
  <c r="J37" i="55"/>
  <c r="AL41" i="55"/>
  <c r="AL43" i="55"/>
  <c r="V39" i="55"/>
  <c r="H221" i="48"/>
  <c r="EA113" i="72"/>
  <c r="DY109" i="72"/>
  <c r="DW110" i="72"/>
  <c r="DY110" i="72" s="1"/>
  <c r="DU111" i="72"/>
  <c r="DS112" i="72"/>
  <c r="DU112" i="72" s="1"/>
  <c r="DO139" i="72"/>
  <c r="BK47" i="72"/>
  <c r="BN46" i="72"/>
  <c r="GP61" i="72"/>
  <c r="CO60" i="72"/>
  <c r="CM61" i="72" s="1"/>
  <c r="CM62" i="72" s="1"/>
  <c r="CO62" i="72" s="1"/>
  <c r="CM63" i="72" s="1"/>
  <c r="AC47" i="72"/>
  <c r="BF44" i="72"/>
  <c r="BC45" i="72"/>
  <c r="AO49" i="72"/>
  <c r="Q38" i="55"/>
  <c r="R38" i="55" s="1"/>
  <c r="O39" i="55"/>
  <c r="Q39" i="55" s="1"/>
  <c r="BY52" i="72"/>
  <c r="BW53" i="72" s="1"/>
  <c r="BW54" i="72" s="1"/>
  <c r="BY54" i="72" s="1"/>
  <c r="BW55" i="72" s="1"/>
  <c r="AC42" i="55"/>
  <c r="AD42" i="55" s="1"/>
  <c r="AA43" i="55"/>
  <c r="AC43" i="55" s="1"/>
  <c r="AH45" i="55"/>
  <c r="GC64" i="72"/>
  <c r="GC65" i="72"/>
  <c r="GC66" i="72" s="1"/>
  <c r="GC67" i="72" s="1"/>
  <c r="GC68" i="72" s="1"/>
  <c r="GC69" i="72" s="1"/>
  <c r="GC70" i="72" s="1"/>
  <c r="GC71" i="72" s="1"/>
  <c r="GC72" i="72" s="1"/>
  <c r="GC73" i="72" s="1"/>
  <c r="GC74" i="72" s="1"/>
  <c r="GC75" i="72" s="1"/>
  <c r="GC76" i="72" s="1"/>
  <c r="AE47" i="55"/>
  <c r="AG47" i="55" s="1"/>
  <c r="AG46" i="55"/>
  <c r="AH46" i="55" s="1"/>
  <c r="FZ59" i="72"/>
  <c r="FX60" i="72"/>
  <c r="FZ60" i="72" s="1"/>
  <c r="FX61" i="72" s="1"/>
  <c r="FY65" i="72"/>
  <c r="FY66" i="72" s="1"/>
  <c r="FY67" i="72" s="1"/>
  <c r="FY68" i="72" s="1"/>
  <c r="FY69" i="72" s="1"/>
  <c r="FY70" i="72" s="1"/>
  <c r="FY71" i="72" s="1"/>
  <c r="FY72" i="72" s="1"/>
  <c r="FY73" i="72" s="1"/>
  <c r="FY74" i="72" s="1"/>
  <c r="FY75" i="72" s="1"/>
  <c r="FY76" i="72" s="1"/>
  <c r="FY64" i="72"/>
  <c r="AD41" i="55"/>
  <c r="C37" i="55"/>
  <c r="E37" i="55" s="1"/>
  <c r="E36" i="55"/>
  <c r="F36" i="55" s="1"/>
  <c r="AM36" i="55" s="1"/>
  <c r="AO36" i="55" s="1"/>
  <c r="A55" i="65"/>
  <c r="A8" i="65"/>
  <c r="A18" i="64"/>
  <c r="R37" i="55"/>
  <c r="I42" i="54"/>
  <c r="H276" i="48"/>
  <c r="AM34" i="55"/>
  <c r="AO34" i="55" s="1"/>
  <c r="H178" i="48"/>
  <c r="H69" i="48"/>
  <c r="DK89" i="72"/>
  <c r="DG87" i="72"/>
  <c r="DC85" i="72"/>
  <c r="CY85" i="72"/>
  <c r="FR59" i="72"/>
  <c r="FP60" i="72"/>
  <c r="FR60" i="72" s="1"/>
  <c r="GR66" i="72"/>
  <c r="GT66" i="72" s="1"/>
  <c r="GR67" i="72" s="1"/>
  <c r="GT65" i="72"/>
  <c r="BG45" i="72"/>
  <c r="BJ44" i="72"/>
  <c r="AQ50" i="72"/>
  <c r="AS50" i="72" s="1"/>
  <c r="AQ51" i="72" s="1"/>
  <c r="CS59" i="72"/>
  <c r="AW43" i="72"/>
  <c r="AX43" i="72" s="1"/>
  <c r="AU44" i="72"/>
  <c r="AW44" i="72" s="1"/>
  <c r="GK65" i="72"/>
  <c r="GK66" i="72" s="1"/>
  <c r="GK67" i="72" s="1"/>
  <c r="GK68" i="72" s="1"/>
  <c r="GK69" i="72" s="1"/>
  <c r="GK70" i="72" s="1"/>
  <c r="GK71" i="72" s="1"/>
  <c r="GK72" i="72" s="1"/>
  <c r="GK73" i="72" s="1"/>
  <c r="GK74" i="72" s="1"/>
  <c r="GK75" i="72" s="1"/>
  <c r="GK76" i="72" s="1"/>
  <c r="GK64" i="72"/>
  <c r="CW61" i="72"/>
  <c r="CU62" i="72"/>
  <c r="CW62" i="72" s="1"/>
  <c r="CU63" i="72" s="1"/>
  <c r="U44" i="72"/>
  <c r="S45" i="72" s="1"/>
  <c r="FT60" i="72"/>
  <c r="FV60" i="72" s="1"/>
  <c r="FV59" i="72"/>
  <c r="GD59" i="72"/>
  <c r="GB60" i="72"/>
  <c r="GD60" i="72" s="1"/>
  <c r="CA54" i="72"/>
  <c r="CC54" i="72" s="1"/>
  <c r="CA55" i="72" s="1"/>
  <c r="CC53" i="72"/>
  <c r="K46" i="72"/>
  <c r="M46" i="72" s="1"/>
  <c r="K47" i="72" s="1"/>
  <c r="M45" i="72"/>
  <c r="C48" i="72"/>
  <c r="E48" i="72" s="1"/>
  <c r="C49" i="72" s="1"/>
  <c r="E47" i="72"/>
  <c r="CS60" i="72"/>
  <c r="CQ61" i="72" s="1"/>
  <c r="O50" i="72"/>
  <c r="Q50" i="72" s="1"/>
  <c r="O51" i="72" s="1"/>
  <c r="Q49" i="72"/>
  <c r="FH59" i="72"/>
  <c r="CO59" i="72"/>
  <c r="AM52" i="72"/>
  <c r="AO52" i="72" s="1"/>
  <c r="AM53" i="72" s="1"/>
  <c r="AO51" i="72"/>
  <c r="FL59" i="72"/>
  <c r="CI56" i="72"/>
  <c r="CK56" i="72" s="1"/>
  <c r="CI57" i="72" s="1"/>
  <c r="CK55" i="72"/>
  <c r="G48" i="72"/>
  <c r="I48" i="72" s="1"/>
  <c r="G49" i="72" s="1"/>
  <c r="I47" i="72"/>
  <c r="GP63" i="72"/>
  <c r="GN64" i="72"/>
  <c r="GP64" i="72" s="1"/>
  <c r="GN65" i="72" s="1"/>
  <c r="CE54" i="72"/>
  <c r="CG54" i="72" s="1"/>
  <c r="CE55" i="72" s="1"/>
  <c r="CG53" i="72"/>
  <c r="AI52" i="72"/>
  <c r="AK52" i="72" s="1"/>
  <c r="AI53" i="72" s="1"/>
  <c r="AK51" i="72"/>
  <c r="FF57" i="72"/>
  <c r="FD58" i="72"/>
  <c r="FF58" i="72" s="1"/>
  <c r="AG47" i="72"/>
  <c r="FM65" i="72"/>
  <c r="FM66" i="72" s="1"/>
  <c r="FM67" i="72" s="1"/>
  <c r="FM68" i="72" s="1"/>
  <c r="FM69" i="72" s="1"/>
  <c r="FM70" i="72" s="1"/>
  <c r="FM71" i="72" s="1"/>
  <c r="FM72" i="72" s="1"/>
  <c r="FM73" i="72" s="1"/>
  <c r="FM74" i="72" s="1"/>
  <c r="FM64" i="72"/>
  <c r="AS47" i="72"/>
  <c r="BR48" i="72"/>
  <c r="BO49" i="72"/>
  <c r="BS52" i="72"/>
  <c r="BU52" i="72" s="1"/>
  <c r="BS53" i="72" s="1"/>
  <c r="BU51" i="72"/>
  <c r="W48" i="72"/>
  <c r="Y48" i="72" s="1"/>
  <c r="W49" i="72" s="1"/>
  <c r="Y47" i="72"/>
  <c r="AA50" i="72"/>
  <c r="AC50" i="72" s="1"/>
  <c r="AA51" i="72" s="1"/>
  <c r="AC49" i="72"/>
  <c r="AY44" i="72"/>
  <c r="BA44" i="72" s="1"/>
  <c r="BA43" i="72"/>
  <c r="BB43" i="72" s="1"/>
  <c r="U43" i="72"/>
  <c r="GV78" i="72"/>
  <c r="GX78" i="72" s="1"/>
  <c r="GV79" i="72" s="1"/>
  <c r="GX77" i="72"/>
  <c r="H222" i="48"/>
  <c r="H223" i="48"/>
  <c r="Z41" i="55" l="1"/>
  <c r="AM35" i="55"/>
  <c r="AN35" i="55" s="1"/>
  <c r="I46" i="54"/>
  <c r="I54" i="54" s="1"/>
  <c r="I45" i="54"/>
  <c r="I53" i="54" s="1"/>
  <c r="I44" i="54"/>
  <c r="I52" i="54" s="1"/>
  <c r="AL45" i="55"/>
  <c r="GH63" i="72"/>
  <c r="U40" i="55"/>
  <c r="V40" i="55" s="1"/>
  <c r="S41" i="55"/>
  <c r="U41" i="55" s="1"/>
  <c r="K42" i="55"/>
  <c r="N41" i="55"/>
  <c r="AI47" i="55"/>
  <c r="AK47" i="55" s="1"/>
  <c r="AK46" i="55"/>
  <c r="AL46" i="55" s="1"/>
  <c r="Y42" i="55"/>
  <c r="Z42" i="55" s="1"/>
  <c r="W43" i="55"/>
  <c r="Y43" i="55" s="1"/>
  <c r="G41" i="55"/>
  <c r="I41" i="55" s="1"/>
  <c r="I40" i="55"/>
  <c r="J40" i="55" s="1"/>
  <c r="EA114" i="72"/>
  <c r="EC114" i="72" s="1"/>
  <c r="EC113" i="72"/>
  <c r="DW111" i="72"/>
  <c r="DS113" i="72"/>
  <c r="DO140" i="72"/>
  <c r="DQ140" i="72" s="1"/>
  <c r="DQ139" i="72"/>
  <c r="BY53" i="72"/>
  <c r="CO61" i="72"/>
  <c r="BK48" i="72"/>
  <c r="BM48" i="72" s="1"/>
  <c r="BM47" i="72"/>
  <c r="BN47" i="72" s="1"/>
  <c r="BE45" i="72"/>
  <c r="BF45" i="72" s="1"/>
  <c r="BC46" i="72"/>
  <c r="BE46" i="72" s="1"/>
  <c r="AA44" i="55"/>
  <c r="AD43" i="55"/>
  <c r="FX62" i="72"/>
  <c r="FZ62" i="72" s="1"/>
  <c r="FX63" i="72" s="1"/>
  <c r="FZ61" i="72"/>
  <c r="GV80" i="72"/>
  <c r="GX80" i="72" s="1"/>
  <c r="GV81" i="72" s="1"/>
  <c r="GX79" i="72"/>
  <c r="C38" i="55"/>
  <c r="F37" i="55"/>
  <c r="AM37" i="55" s="1"/>
  <c r="AN37" i="55" s="1"/>
  <c r="O40" i="55"/>
  <c r="R39" i="55"/>
  <c r="AE48" i="55"/>
  <c r="AH47" i="55"/>
  <c r="A20" i="64"/>
  <c r="H265" i="48"/>
  <c r="H71" i="48"/>
  <c r="DM89" i="72"/>
  <c r="DK90" i="72"/>
  <c r="DM90" i="72" s="1"/>
  <c r="DG88" i="72"/>
  <c r="DI88" i="72" s="1"/>
  <c r="DI87" i="72"/>
  <c r="DE85" i="72"/>
  <c r="DC86" i="72"/>
  <c r="DE86" i="72" s="1"/>
  <c r="DA85" i="72"/>
  <c r="CY86" i="72"/>
  <c r="DA86" i="72" s="1"/>
  <c r="AE50" i="72"/>
  <c r="AG50" i="72" s="1"/>
  <c r="AE51" i="72" s="1"/>
  <c r="AG49" i="72"/>
  <c r="AI54" i="72"/>
  <c r="AK54" i="72" s="1"/>
  <c r="AI55" i="72" s="1"/>
  <c r="AK53" i="72"/>
  <c r="CI58" i="72"/>
  <c r="CK58" i="72" s="1"/>
  <c r="CI59" i="72" s="1"/>
  <c r="CK57" i="72"/>
  <c r="CS61" i="72"/>
  <c r="CQ62" i="72"/>
  <c r="CS62" i="72" s="1"/>
  <c r="CQ63" i="72" s="1"/>
  <c r="BW56" i="72"/>
  <c r="BY56" i="72" s="1"/>
  <c r="BW57" i="72" s="1"/>
  <c r="BY55" i="72"/>
  <c r="CA56" i="72"/>
  <c r="CC56" i="72" s="1"/>
  <c r="CA57" i="72" s="1"/>
  <c r="CC55" i="72"/>
  <c r="FT61" i="72"/>
  <c r="AQ52" i="72"/>
  <c r="AS52" i="72" s="1"/>
  <c r="AQ53" i="72" s="1"/>
  <c r="AS51" i="72"/>
  <c r="GT67" i="72"/>
  <c r="GR68" i="72"/>
  <c r="GT68" i="72" s="1"/>
  <c r="GR69" i="72" s="1"/>
  <c r="AA52" i="72"/>
  <c r="AC52" i="72" s="1"/>
  <c r="AA53" i="72" s="1"/>
  <c r="AC51" i="72"/>
  <c r="BS54" i="72"/>
  <c r="BU54" i="72" s="1"/>
  <c r="BS55" i="72" s="1"/>
  <c r="BU53" i="72"/>
  <c r="FD59" i="72"/>
  <c r="FH60" i="72"/>
  <c r="FJ60" i="72" s="1"/>
  <c r="FJ59" i="72"/>
  <c r="GB61" i="72"/>
  <c r="S46" i="72"/>
  <c r="U46" i="72" s="1"/>
  <c r="S47" i="72" s="1"/>
  <c r="U45" i="72"/>
  <c r="CO63" i="72"/>
  <c r="CM64" i="72"/>
  <c r="CO64" i="72" s="1"/>
  <c r="CM65" i="72" s="1"/>
  <c r="BO50" i="72"/>
  <c r="BQ50" i="72" s="1"/>
  <c r="BQ49" i="72"/>
  <c r="BR49" i="72" s="1"/>
  <c r="CE56" i="72"/>
  <c r="CG56" i="72" s="1"/>
  <c r="CE57" i="72" s="1"/>
  <c r="CG55" i="72"/>
  <c r="G50" i="72"/>
  <c r="I50" i="72" s="1"/>
  <c r="G51" i="72" s="1"/>
  <c r="I49" i="72"/>
  <c r="GL61" i="72"/>
  <c r="GJ62" i="72"/>
  <c r="GL62" i="72" s="1"/>
  <c r="FN59" i="72"/>
  <c r="FL60" i="72"/>
  <c r="FN60" i="72" s="1"/>
  <c r="AM54" i="72"/>
  <c r="AO54" i="72" s="1"/>
  <c r="AM55" i="72" s="1"/>
  <c r="AO53" i="72"/>
  <c r="C50" i="72"/>
  <c r="E50" i="72" s="1"/>
  <c r="C51" i="72" s="1"/>
  <c r="E49" i="72"/>
  <c r="K48" i="72"/>
  <c r="M48" i="72" s="1"/>
  <c r="K49" i="72" s="1"/>
  <c r="M47" i="72"/>
  <c r="CW63" i="72"/>
  <c r="CU64" i="72"/>
  <c r="CW64" i="72" s="1"/>
  <c r="CU65" i="72" s="1"/>
  <c r="AX44" i="72"/>
  <c r="AU45" i="72"/>
  <c r="GF65" i="72"/>
  <c r="BG46" i="72"/>
  <c r="BI46" i="72" s="1"/>
  <c r="BI45" i="72"/>
  <c r="BJ45" i="72" s="1"/>
  <c r="FP61" i="72"/>
  <c r="AY45" i="72"/>
  <c r="BB44" i="72"/>
  <c r="W50" i="72"/>
  <c r="Y50" i="72" s="1"/>
  <c r="W51" i="72" s="1"/>
  <c r="Y49" i="72"/>
  <c r="GP65" i="72"/>
  <c r="GN66" i="72"/>
  <c r="GP66" i="72" s="1"/>
  <c r="O52" i="72"/>
  <c r="Q52" i="72" s="1"/>
  <c r="O53" i="72" s="1"/>
  <c r="Q51" i="72"/>
  <c r="H224" i="48"/>
  <c r="J166" i="65" s="1"/>
  <c r="H128" i="48" s="1"/>
  <c r="S42" i="55" l="1"/>
  <c r="V41" i="55"/>
  <c r="AI48" i="55"/>
  <c r="AL47" i="55"/>
  <c r="W44" i="55"/>
  <c r="Z43" i="55"/>
  <c r="G42" i="55"/>
  <c r="J41" i="55"/>
  <c r="M42" i="55"/>
  <c r="N42" i="55" s="1"/>
  <c r="K43" i="55"/>
  <c r="M43" i="55" s="1"/>
  <c r="EA115" i="72"/>
  <c r="DY111" i="72"/>
  <c r="DW112" i="72"/>
  <c r="DY112" i="72" s="1"/>
  <c r="DU113" i="72"/>
  <c r="DS114" i="72"/>
  <c r="DU114" i="72" s="1"/>
  <c r="DO141" i="72"/>
  <c r="BN48" i="72"/>
  <c r="BK49" i="72"/>
  <c r="BF46" i="72"/>
  <c r="BC47" i="72"/>
  <c r="I55" i="54"/>
  <c r="Q40" i="55"/>
  <c r="R40" i="55" s="1"/>
  <c r="O41" i="55"/>
  <c r="Q41" i="55" s="1"/>
  <c r="AE49" i="55"/>
  <c r="AG49" i="55" s="1"/>
  <c r="AG48" i="55"/>
  <c r="AH48" i="55" s="1"/>
  <c r="E38" i="55"/>
  <c r="F38" i="55" s="1"/>
  <c r="AM38" i="55" s="1"/>
  <c r="AO38" i="55" s="1"/>
  <c r="C39" i="55"/>
  <c r="E39" i="55" s="1"/>
  <c r="FX64" i="72"/>
  <c r="FZ64" i="72" s="1"/>
  <c r="FX65" i="72" s="1"/>
  <c r="FZ65" i="72" s="1"/>
  <c r="FZ63" i="72"/>
  <c r="AC44" i="55"/>
  <c r="AD44" i="55" s="1"/>
  <c r="AA45" i="55"/>
  <c r="AC45" i="55" s="1"/>
  <c r="A21" i="64"/>
  <c r="A11" i="65" s="1"/>
  <c r="DK91" i="72"/>
  <c r="DG89" i="72"/>
  <c r="DC87" i="72"/>
  <c r="CY87" i="72"/>
  <c r="GN67" i="72"/>
  <c r="FR61" i="72"/>
  <c r="FP62" i="72"/>
  <c r="FR62" i="72" s="1"/>
  <c r="BG47" i="72"/>
  <c r="BJ46" i="72"/>
  <c r="K50" i="72"/>
  <c r="M50" i="72" s="1"/>
  <c r="K51" i="72" s="1"/>
  <c r="M49" i="72"/>
  <c r="AM56" i="72"/>
  <c r="AO56" i="72" s="1"/>
  <c r="AM57" i="72" s="1"/>
  <c r="AO55" i="72"/>
  <c r="CE58" i="72"/>
  <c r="CG58" i="72" s="1"/>
  <c r="CE59" i="72" s="1"/>
  <c r="CG57" i="72"/>
  <c r="GD61" i="72"/>
  <c r="GB62" i="72"/>
  <c r="GD62" i="72" s="1"/>
  <c r="AA54" i="72"/>
  <c r="AC54" i="72" s="1"/>
  <c r="AA55" i="72" s="1"/>
  <c r="AC53" i="72"/>
  <c r="O54" i="72"/>
  <c r="Q54" i="72" s="1"/>
  <c r="O55" i="72" s="1"/>
  <c r="Q53" i="72"/>
  <c r="BA45" i="72"/>
  <c r="BB45" i="72" s="1"/>
  <c r="AY46" i="72"/>
  <c r="BA46" i="72" s="1"/>
  <c r="CW65" i="72"/>
  <c r="CU66" i="72"/>
  <c r="CW66" i="72" s="1"/>
  <c r="CU67" i="72" s="1"/>
  <c r="FL61" i="72"/>
  <c r="GF66" i="72"/>
  <c r="GH66" i="72" s="1"/>
  <c r="GH65" i="72"/>
  <c r="C52" i="72"/>
  <c r="E52" i="72" s="1"/>
  <c r="C53" i="72" s="1"/>
  <c r="E51" i="72"/>
  <c r="G52" i="72"/>
  <c r="I52" i="72" s="1"/>
  <c r="G53" i="72" s="1"/>
  <c r="I51" i="72"/>
  <c r="BR50" i="72"/>
  <c r="BO51" i="72"/>
  <c r="S48" i="72"/>
  <c r="U48" i="72" s="1"/>
  <c r="S49" i="72" s="1"/>
  <c r="U47" i="72"/>
  <c r="FH61" i="72"/>
  <c r="BS56" i="72"/>
  <c r="BU56" i="72" s="1"/>
  <c r="BS57" i="72" s="1"/>
  <c r="BU55" i="72"/>
  <c r="GR70" i="72"/>
  <c r="GT70" i="72" s="1"/>
  <c r="GT69" i="72"/>
  <c r="FV61" i="72"/>
  <c r="FT62" i="72"/>
  <c r="FV62" i="72" s="1"/>
  <c r="BW58" i="72"/>
  <c r="BY58" i="72" s="1"/>
  <c r="BW59" i="72" s="1"/>
  <c r="BY57" i="72"/>
  <c r="CI60" i="72"/>
  <c r="CK60" i="72" s="1"/>
  <c r="CI61" i="72" s="1"/>
  <c r="CK59" i="72"/>
  <c r="AI56" i="72"/>
  <c r="AK56" i="72" s="1"/>
  <c r="AI57" i="72" s="1"/>
  <c r="AK55" i="72"/>
  <c r="W52" i="72"/>
  <c r="Y52" i="72" s="1"/>
  <c r="W53" i="72" s="1"/>
  <c r="Y51" i="72"/>
  <c r="AW45" i="72"/>
  <c r="AX45" i="72" s="1"/>
  <c r="AU46" i="72"/>
  <c r="AW46" i="72" s="1"/>
  <c r="GJ63" i="72"/>
  <c r="CO65" i="72"/>
  <c r="CM66" i="72"/>
  <c r="CO66" i="72" s="1"/>
  <c r="CM67" i="72" s="1"/>
  <c r="CQ64" i="72"/>
  <c r="CS64" i="72" s="1"/>
  <c r="CQ65" i="72" s="1"/>
  <c r="CS63" i="72"/>
  <c r="FD60" i="72"/>
  <c r="FF60" i="72" s="1"/>
  <c r="FF59" i="72"/>
  <c r="AQ54" i="72"/>
  <c r="AS54" i="72" s="1"/>
  <c r="AQ55" i="72" s="1"/>
  <c r="AS53" i="72"/>
  <c r="CA58" i="72"/>
  <c r="CC58" i="72" s="1"/>
  <c r="CA59" i="72" s="1"/>
  <c r="CC57" i="72"/>
  <c r="FX66" i="72"/>
  <c r="FZ66" i="72" s="1"/>
  <c r="AE52" i="72"/>
  <c r="AG52" i="72" s="1"/>
  <c r="AE53" i="72" s="1"/>
  <c r="AG51" i="72"/>
  <c r="GV82" i="72"/>
  <c r="GX82" i="72" s="1"/>
  <c r="GX81" i="72"/>
  <c r="H132" i="48"/>
  <c r="S43" i="55" l="1"/>
  <c r="U43" i="55" s="1"/>
  <c r="U42" i="55"/>
  <c r="V42" i="55" s="1"/>
  <c r="K44" i="55"/>
  <c r="N43" i="55"/>
  <c r="G43" i="55"/>
  <c r="I43" i="55" s="1"/>
  <c r="I42" i="55"/>
  <c r="J42" i="55" s="1"/>
  <c r="W45" i="55"/>
  <c r="Y45" i="55" s="1"/>
  <c r="Y44" i="55"/>
  <c r="Z44" i="55" s="1"/>
  <c r="AI49" i="55"/>
  <c r="AK49" i="55" s="1"/>
  <c r="AK48" i="55"/>
  <c r="AL48" i="55" s="1"/>
  <c r="EA116" i="72"/>
  <c r="EC116" i="72" s="1"/>
  <c r="EC115" i="72"/>
  <c r="DW113" i="72"/>
  <c r="DS115" i="72"/>
  <c r="DO142" i="72"/>
  <c r="DQ142" i="72" s="1"/>
  <c r="DQ141" i="72"/>
  <c r="BM49" i="72"/>
  <c r="BN49" i="72" s="1"/>
  <c r="BK50" i="72"/>
  <c r="BM50" i="72" s="1"/>
  <c r="BC48" i="72"/>
  <c r="BE48" i="72" s="1"/>
  <c r="BE47" i="72"/>
  <c r="BF47" i="72" s="1"/>
  <c r="AA46" i="55"/>
  <c r="AD45" i="55"/>
  <c r="C40" i="55"/>
  <c r="F39" i="55"/>
  <c r="AM39" i="55" s="1"/>
  <c r="AN39" i="55" s="1"/>
  <c r="AE50" i="55"/>
  <c r="AH49" i="55"/>
  <c r="O42" i="55"/>
  <c r="R41" i="55"/>
  <c r="F55" i="64"/>
  <c r="A22" i="64"/>
  <c r="A12" i="65" s="1"/>
  <c r="DM91" i="72"/>
  <c r="DK92" i="72"/>
  <c r="DM92" i="72" s="1"/>
  <c r="DG90" i="72"/>
  <c r="DI90" i="72" s="1"/>
  <c r="DI89" i="72"/>
  <c r="DE87" i="72"/>
  <c r="DC88" i="72"/>
  <c r="DE88" i="72" s="1"/>
  <c r="DA87" i="72"/>
  <c r="CY88" i="72"/>
  <c r="DA88" i="72" s="1"/>
  <c r="CM68" i="72"/>
  <c r="CO68" i="72" s="1"/>
  <c r="CM69" i="72" s="1"/>
  <c r="CO67" i="72"/>
  <c r="FT63" i="72"/>
  <c r="GB63" i="72"/>
  <c r="AE54" i="72"/>
  <c r="AG54" i="72" s="1"/>
  <c r="AE55" i="72" s="1"/>
  <c r="AG53" i="72"/>
  <c r="FD61" i="72"/>
  <c r="BO52" i="72"/>
  <c r="BQ52" i="72" s="1"/>
  <c r="BQ51" i="72"/>
  <c r="BR51" i="72" s="1"/>
  <c r="CW67" i="72"/>
  <c r="CU68" i="72"/>
  <c r="CW68" i="72" s="1"/>
  <c r="CU69" i="72" s="1"/>
  <c r="BB46" i="72"/>
  <c r="AY47" i="72"/>
  <c r="FP63" i="72"/>
  <c r="FX67" i="72"/>
  <c r="AQ56" i="72"/>
  <c r="AS56" i="72" s="1"/>
  <c r="AQ57" i="72" s="1"/>
  <c r="AS55" i="72"/>
  <c r="CS65" i="72"/>
  <c r="CQ66" i="72"/>
  <c r="CS66" i="72" s="1"/>
  <c r="CQ67" i="72" s="1"/>
  <c r="GL63" i="72"/>
  <c r="GJ64" i="72"/>
  <c r="GL64" i="72" s="1"/>
  <c r="W54" i="72"/>
  <c r="Y54" i="72" s="1"/>
  <c r="W55" i="72" s="1"/>
  <c r="Y53" i="72"/>
  <c r="AI58" i="72"/>
  <c r="AK58" i="72" s="1"/>
  <c r="AI59" i="72" s="1"/>
  <c r="AK57" i="72"/>
  <c r="BW60" i="72"/>
  <c r="BY60" i="72" s="1"/>
  <c r="BW61" i="72" s="1"/>
  <c r="BY59" i="72"/>
  <c r="GR71" i="72"/>
  <c r="FH62" i="72"/>
  <c r="FJ62" i="72" s="1"/>
  <c r="FJ61" i="72"/>
  <c r="C54" i="72"/>
  <c r="E54" i="72" s="1"/>
  <c r="C55" i="72" s="1"/>
  <c r="E53" i="72"/>
  <c r="AA56" i="72"/>
  <c r="AC56" i="72" s="1"/>
  <c r="AA57" i="72" s="1"/>
  <c r="AC55" i="72"/>
  <c r="CE60" i="72"/>
  <c r="CG60" i="72" s="1"/>
  <c r="CE61" i="72" s="1"/>
  <c r="CG59" i="72"/>
  <c r="K52" i="72"/>
  <c r="M52" i="72" s="1"/>
  <c r="K53" i="72" s="1"/>
  <c r="M51" i="72"/>
  <c r="AX46" i="72"/>
  <c r="AU47" i="72"/>
  <c r="CA60" i="72"/>
  <c r="CC60" i="72" s="1"/>
  <c r="CA61" i="72" s="1"/>
  <c r="CC59" i="72"/>
  <c r="CI62" i="72"/>
  <c r="CK62" i="72" s="1"/>
  <c r="CI63" i="72" s="1"/>
  <c r="CK61" i="72"/>
  <c r="BS58" i="72"/>
  <c r="BU58" i="72" s="1"/>
  <c r="BS59" i="72" s="1"/>
  <c r="BU57" i="72"/>
  <c r="S50" i="72"/>
  <c r="U50" i="72" s="1"/>
  <c r="S51" i="72" s="1"/>
  <c r="U49" i="72"/>
  <c r="G54" i="72"/>
  <c r="I54" i="72" s="1"/>
  <c r="G55" i="72" s="1"/>
  <c r="I53" i="72"/>
  <c r="GF67" i="72"/>
  <c r="FN61" i="72"/>
  <c r="FL62" i="72"/>
  <c r="FN62" i="72" s="1"/>
  <c r="O56" i="72"/>
  <c r="Q56" i="72" s="1"/>
  <c r="O57" i="72" s="1"/>
  <c r="Q55" i="72"/>
  <c r="AM58" i="72"/>
  <c r="AO58" i="72" s="1"/>
  <c r="AM59" i="72" s="1"/>
  <c r="AO57" i="72"/>
  <c r="BG48" i="72"/>
  <c r="BI48" i="72" s="1"/>
  <c r="BI47" i="72"/>
  <c r="BJ47" i="72" s="1"/>
  <c r="GP67" i="72"/>
  <c r="GN68" i="72"/>
  <c r="GP68" i="72" s="1"/>
  <c r="S44" i="55" l="1"/>
  <c r="V43" i="55"/>
  <c r="AI50" i="55"/>
  <c r="AL49" i="55"/>
  <c r="G44" i="55"/>
  <c r="J43" i="55"/>
  <c r="Z45" i="55"/>
  <c r="W46" i="55"/>
  <c r="M44" i="55"/>
  <c r="N44" i="55" s="1"/>
  <c r="K45" i="55"/>
  <c r="M45" i="55" s="1"/>
  <c r="EA117" i="72"/>
  <c r="DY113" i="72"/>
  <c r="DW114" i="72"/>
  <c r="DY114" i="72" s="1"/>
  <c r="DU115" i="72"/>
  <c r="DS116" i="72"/>
  <c r="DU116" i="72" s="1"/>
  <c r="DO143" i="72"/>
  <c r="BN50" i="72"/>
  <c r="BK51" i="72"/>
  <c r="BF48" i="72"/>
  <c r="BC49" i="72"/>
  <c r="Q42" i="55"/>
  <c r="R42" i="55" s="1"/>
  <c r="O43" i="55"/>
  <c r="Q43" i="55" s="1"/>
  <c r="E40" i="55"/>
  <c r="F40" i="55" s="1"/>
  <c r="AM40" i="55" s="1"/>
  <c r="AO40" i="55" s="1"/>
  <c r="C41" i="55"/>
  <c r="E41" i="55" s="1"/>
  <c r="AG50" i="55"/>
  <c r="AH50" i="55" s="1"/>
  <c r="AE51" i="55"/>
  <c r="AG51" i="55" s="1"/>
  <c r="AC46" i="55"/>
  <c r="AD46" i="55" s="1"/>
  <c r="AA47" i="55"/>
  <c r="AC47" i="55" s="1"/>
  <c r="F56" i="64"/>
  <c r="A23" i="64"/>
  <c r="A13" i="65" s="1"/>
  <c r="F24" i="64"/>
  <c r="DK93" i="72"/>
  <c r="DG91" i="72"/>
  <c r="DC89" i="72"/>
  <c r="CY89" i="72"/>
  <c r="FL63" i="72"/>
  <c r="CW69" i="72"/>
  <c r="CU70" i="72"/>
  <c r="CW70" i="72" s="1"/>
  <c r="CU71" i="72" s="1"/>
  <c r="BG49" i="72"/>
  <c r="BJ48" i="72"/>
  <c r="GN69" i="72"/>
  <c r="CQ68" i="72"/>
  <c r="CS68" i="72" s="1"/>
  <c r="CQ69" i="72" s="1"/>
  <c r="CS67" i="72"/>
  <c r="BA47" i="72"/>
  <c r="BB47" i="72" s="1"/>
  <c r="AY48" i="72"/>
  <c r="BA48" i="72" s="1"/>
  <c r="AM60" i="72"/>
  <c r="AO60" i="72" s="1"/>
  <c r="AM61" i="72" s="1"/>
  <c r="AO59" i="72"/>
  <c r="GH67" i="72"/>
  <c r="GF68" i="72"/>
  <c r="GH68" i="72" s="1"/>
  <c r="S52" i="72"/>
  <c r="U52" i="72" s="1"/>
  <c r="S53" i="72" s="1"/>
  <c r="U51" i="72"/>
  <c r="CK63" i="72"/>
  <c r="CI64" i="72"/>
  <c r="CK64" i="72" s="1"/>
  <c r="CI65" i="72" s="1"/>
  <c r="CA62" i="72"/>
  <c r="CC62" i="72" s="1"/>
  <c r="CA63" i="72" s="1"/>
  <c r="CC61" i="72"/>
  <c r="K54" i="72"/>
  <c r="M54" i="72" s="1"/>
  <c r="K55" i="72" s="1"/>
  <c r="M53" i="72"/>
  <c r="AA58" i="72"/>
  <c r="AC58" i="72" s="1"/>
  <c r="AA59" i="72" s="1"/>
  <c r="AC57" i="72"/>
  <c r="FH63" i="72"/>
  <c r="BW62" i="72"/>
  <c r="BY62" i="72" s="1"/>
  <c r="BW63" i="72" s="1"/>
  <c r="BY61" i="72"/>
  <c r="W56" i="72"/>
  <c r="Y56" i="72" s="1"/>
  <c r="W57" i="72" s="1"/>
  <c r="Y55" i="72"/>
  <c r="FZ67" i="72"/>
  <c r="FX68" i="72"/>
  <c r="FZ68" i="72" s="1"/>
  <c r="BO53" i="72"/>
  <c r="BR52" i="72"/>
  <c r="AE56" i="72"/>
  <c r="AG56" i="72" s="1"/>
  <c r="AE57" i="72" s="1"/>
  <c r="AG55" i="72"/>
  <c r="FT64" i="72"/>
  <c r="FV64" i="72" s="1"/>
  <c r="FV63" i="72"/>
  <c r="AU48" i="72"/>
  <c r="AW48" i="72" s="1"/>
  <c r="AW47" i="72"/>
  <c r="AX47" i="72" s="1"/>
  <c r="GJ65" i="72"/>
  <c r="O58" i="72"/>
  <c r="Q58" i="72" s="1"/>
  <c r="O59" i="72" s="1"/>
  <c r="Q57" i="72"/>
  <c r="G56" i="72"/>
  <c r="I56" i="72" s="1"/>
  <c r="G57" i="72" s="1"/>
  <c r="I55" i="72"/>
  <c r="BS60" i="72"/>
  <c r="BU60" i="72" s="1"/>
  <c r="BS61" i="72" s="1"/>
  <c r="BU59" i="72"/>
  <c r="CE62" i="72"/>
  <c r="CG62" i="72" s="1"/>
  <c r="CE63" i="72" s="1"/>
  <c r="CG61" i="72"/>
  <c r="C56" i="72"/>
  <c r="E56" i="72" s="1"/>
  <c r="C57" i="72" s="1"/>
  <c r="E55" i="72"/>
  <c r="GR72" i="72"/>
  <c r="GT72" i="72" s="1"/>
  <c r="GT71" i="72"/>
  <c r="AI60" i="72"/>
  <c r="AK60" i="72" s="1"/>
  <c r="AI61" i="72" s="1"/>
  <c r="AK59" i="72"/>
  <c r="AQ58" i="72"/>
  <c r="AS58" i="72" s="1"/>
  <c r="AQ59" i="72" s="1"/>
  <c r="AS57" i="72"/>
  <c r="FP64" i="72"/>
  <c r="FR64" i="72" s="1"/>
  <c r="FR63" i="72"/>
  <c r="FD62" i="72"/>
  <c r="FF62" i="72" s="1"/>
  <c r="FF61" i="72"/>
  <c r="GB64" i="72"/>
  <c r="GD64" i="72" s="1"/>
  <c r="GD63" i="72"/>
  <c r="CO69" i="72"/>
  <c r="CM70" i="72"/>
  <c r="CO70" i="72" s="1"/>
  <c r="CM71" i="72" s="1"/>
  <c r="U44" i="55" l="1"/>
  <c r="V44" i="55" s="1"/>
  <c r="S45" i="55"/>
  <c r="U45" i="55" s="1"/>
  <c r="N45" i="55"/>
  <c r="K46" i="55"/>
  <c r="I44" i="55"/>
  <c r="J44" i="55" s="1"/>
  <c r="G45" i="55"/>
  <c r="I45" i="55" s="1"/>
  <c r="Y46" i="55"/>
  <c r="Z46" i="55" s="1"/>
  <c r="W47" i="55"/>
  <c r="Y47" i="55" s="1"/>
  <c r="AK50" i="55"/>
  <c r="AL50" i="55" s="1"/>
  <c r="AI51" i="55"/>
  <c r="AK51" i="55" s="1"/>
  <c r="EA118" i="72"/>
  <c r="EC118" i="72" s="1"/>
  <c r="EC117" i="72"/>
  <c r="DW115" i="72"/>
  <c r="DS117" i="72"/>
  <c r="DO144" i="72"/>
  <c r="DQ144" i="72" s="1"/>
  <c r="DQ143" i="72"/>
  <c r="BK52" i="72"/>
  <c r="BM52" i="72" s="1"/>
  <c r="BM51" i="72"/>
  <c r="BN51" i="72" s="1"/>
  <c r="BC50" i="72"/>
  <c r="BE50" i="72" s="1"/>
  <c r="BE49" i="72"/>
  <c r="BF49" i="72" s="1"/>
  <c r="AE52" i="55"/>
  <c r="AH51" i="55"/>
  <c r="O44" i="55"/>
  <c r="R43" i="55"/>
  <c r="AA48" i="55"/>
  <c r="AD47" i="55"/>
  <c r="C42" i="55"/>
  <c r="F41" i="55"/>
  <c r="AM41" i="55" s="1"/>
  <c r="AN41" i="55" s="1"/>
  <c r="A24" i="64"/>
  <c r="F26" i="64"/>
  <c r="DM93" i="72"/>
  <c r="DK94" i="72"/>
  <c r="DM94" i="72" s="1"/>
  <c r="DG92" i="72"/>
  <c r="DI92" i="72" s="1"/>
  <c r="DI91" i="72"/>
  <c r="DE89" i="72"/>
  <c r="DC90" i="72"/>
  <c r="DE90" i="72" s="1"/>
  <c r="DA89" i="72"/>
  <c r="CY90" i="72"/>
  <c r="DA90" i="72" s="1"/>
  <c r="GF69" i="72"/>
  <c r="CO71" i="72"/>
  <c r="CM72" i="72"/>
  <c r="CO72" i="72" s="1"/>
  <c r="CM73" i="72" s="1"/>
  <c r="FX69" i="72"/>
  <c r="BB48" i="72"/>
  <c r="AY49" i="72"/>
  <c r="CW71" i="72"/>
  <c r="CU72" i="72"/>
  <c r="CW72" i="72" s="1"/>
  <c r="CU73" i="72" s="1"/>
  <c r="FD63" i="72"/>
  <c r="AQ60" i="72"/>
  <c r="AS60" i="72" s="1"/>
  <c r="AQ61" i="72" s="1"/>
  <c r="AS59" i="72"/>
  <c r="GR73" i="72"/>
  <c r="CG63" i="72"/>
  <c r="CE64" i="72"/>
  <c r="CG64" i="72" s="1"/>
  <c r="CE65" i="72" s="1"/>
  <c r="BS62" i="72"/>
  <c r="BU62" i="72" s="1"/>
  <c r="BS63" i="72" s="1"/>
  <c r="BU61" i="72"/>
  <c r="O60" i="72"/>
  <c r="Q60" i="72" s="1"/>
  <c r="O61" i="72" s="1"/>
  <c r="Q59" i="72"/>
  <c r="AX48" i="72"/>
  <c r="AU49" i="72"/>
  <c r="AE58" i="72"/>
  <c r="AG58" i="72" s="1"/>
  <c r="AE59" i="72" s="1"/>
  <c r="AG57" i="72"/>
  <c r="BY63" i="72"/>
  <c r="BW64" i="72"/>
  <c r="BY64" i="72" s="1"/>
  <c r="BW65" i="72" s="1"/>
  <c r="AA60" i="72"/>
  <c r="AC60" i="72" s="1"/>
  <c r="AA61" i="72" s="1"/>
  <c r="AC59" i="72"/>
  <c r="CA64" i="72"/>
  <c r="CC64" i="72" s="1"/>
  <c r="CA65" i="72" s="1"/>
  <c r="CC63" i="72"/>
  <c r="S54" i="72"/>
  <c r="U54" i="72" s="1"/>
  <c r="S55" i="72" s="1"/>
  <c r="U53" i="72"/>
  <c r="GP69" i="72"/>
  <c r="GN70" i="72"/>
  <c r="GP70" i="72" s="1"/>
  <c r="CI66" i="72"/>
  <c r="CK66" i="72" s="1"/>
  <c r="CI67" i="72" s="1"/>
  <c r="CK65" i="72"/>
  <c r="GB65" i="72"/>
  <c r="FP65" i="72"/>
  <c r="AI62" i="72"/>
  <c r="AK62" i="72" s="1"/>
  <c r="AI63" i="72" s="1"/>
  <c r="AK61" i="72"/>
  <c r="C58" i="72"/>
  <c r="E58" i="72" s="1"/>
  <c r="C59" i="72" s="1"/>
  <c r="E57" i="72"/>
  <c r="G58" i="72"/>
  <c r="I58" i="72" s="1"/>
  <c r="G59" i="72" s="1"/>
  <c r="I57" i="72"/>
  <c r="GJ66" i="72"/>
  <c r="GL66" i="72" s="1"/>
  <c r="GL65" i="72"/>
  <c r="FT65" i="72"/>
  <c r="BO54" i="72"/>
  <c r="BQ54" i="72" s="1"/>
  <c r="BQ53" i="72"/>
  <c r="BR53" i="72" s="1"/>
  <c r="W58" i="72"/>
  <c r="Y58" i="72" s="1"/>
  <c r="W59" i="72" s="1"/>
  <c r="Y57" i="72"/>
  <c r="FH64" i="72"/>
  <c r="FJ64" i="72" s="1"/>
  <c r="FJ63" i="72"/>
  <c r="K56" i="72"/>
  <c r="M56" i="72" s="1"/>
  <c r="K57" i="72" s="1"/>
  <c r="M55" i="72"/>
  <c r="AM62" i="72"/>
  <c r="AO62" i="72" s="1"/>
  <c r="AM63" i="72" s="1"/>
  <c r="AO61" i="72"/>
  <c r="CS69" i="72"/>
  <c r="CQ70" i="72"/>
  <c r="CS70" i="72" s="1"/>
  <c r="CQ71" i="72" s="1"/>
  <c r="BI49" i="72"/>
  <c r="BJ49" i="72" s="1"/>
  <c r="BG50" i="72"/>
  <c r="BI50" i="72" s="1"/>
  <c r="FL64" i="72"/>
  <c r="FN64" i="72" s="1"/>
  <c r="FN63" i="72"/>
  <c r="V45" i="55" l="1"/>
  <c r="S46" i="55"/>
  <c r="AL51" i="55"/>
  <c r="AI52" i="55"/>
  <c r="W48" i="55"/>
  <c r="Z47" i="55"/>
  <c r="G46" i="55"/>
  <c r="J45" i="55"/>
  <c r="M46" i="55"/>
  <c r="N46" i="55" s="1"/>
  <c r="K47" i="55"/>
  <c r="M47" i="55" s="1"/>
  <c r="EA119" i="72"/>
  <c r="DY115" i="72"/>
  <c r="DW116" i="72"/>
  <c r="DY116" i="72" s="1"/>
  <c r="DU117" i="72"/>
  <c r="DS118" i="72"/>
  <c r="DU118" i="72" s="1"/>
  <c r="DO145" i="72"/>
  <c r="BN52" i="72"/>
  <c r="BK53" i="72"/>
  <c r="BC51" i="72"/>
  <c r="BF50" i="72"/>
  <c r="O45" i="55"/>
  <c r="Q45" i="55" s="1"/>
  <c r="Q44" i="55"/>
  <c r="R44" i="55" s="1"/>
  <c r="AC48" i="55"/>
  <c r="AD48" i="55" s="1"/>
  <c r="AA49" i="55"/>
  <c r="AC49" i="55" s="1"/>
  <c r="AE53" i="55"/>
  <c r="AG53" i="55" s="1"/>
  <c r="AG52" i="55"/>
  <c r="AH52" i="55" s="1"/>
  <c r="C43" i="55"/>
  <c r="E43" i="55" s="1"/>
  <c r="E42" i="55"/>
  <c r="F42" i="55" s="1"/>
  <c r="AM42" i="55" s="1"/>
  <c r="AO42" i="55" s="1"/>
  <c r="A26" i="64"/>
  <c r="DK95" i="72"/>
  <c r="DG93" i="72"/>
  <c r="DC91" i="72"/>
  <c r="CY91" i="72"/>
  <c r="CQ72" i="72"/>
  <c r="CS72" i="72" s="1"/>
  <c r="CQ73" i="72" s="1"/>
  <c r="CS71" i="72"/>
  <c r="BY65" i="72"/>
  <c r="BW66" i="72"/>
  <c r="BY66" i="72" s="1"/>
  <c r="BW67" i="72" s="1"/>
  <c r="AU50" i="72"/>
  <c r="AW50" i="72" s="1"/>
  <c r="AW49" i="72"/>
  <c r="AX49" i="72" s="1"/>
  <c r="AY50" i="72"/>
  <c r="BA50" i="72" s="1"/>
  <c r="BA49" i="72"/>
  <c r="BB49" i="72" s="1"/>
  <c r="CO73" i="72"/>
  <c r="CM74" i="72"/>
  <c r="CO74" i="72" s="1"/>
  <c r="CM75" i="72" s="1"/>
  <c r="FL65" i="72"/>
  <c r="K58" i="72"/>
  <c r="M58" i="72" s="1"/>
  <c r="K59" i="72" s="1"/>
  <c r="M57" i="72"/>
  <c r="W60" i="72"/>
  <c r="Y60" i="72" s="1"/>
  <c r="W61" i="72" s="1"/>
  <c r="Y59" i="72"/>
  <c r="FV65" i="72"/>
  <c r="FT66" i="72"/>
  <c r="FV66" i="72" s="1"/>
  <c r="G60" i="72"/>
  <c r="I60" i="72" s="1"/>
  <c r="G61" i="72" s="1"/>
  <c r="I59" i="72"/>
  <c r="AI64" i="72"/>
  <c r="AK64" i="72" s="1"/>
  <c r="AI65" i="72" s="1"/>
  <c r="AK63" i="72"/>
  <c r="GB66" i="72"/>
  <c r="GD66" i="72" s="1"/>
  <c r="GD65" i="72"/>
  <c r="CC65" i="72"/>
  <c r="CA66" i="72"/>
  <c r="CC66" i="72" s="1"/>
  <c r="CA67" i="72" s="1"/>
  <c r="BU63" i="72"/>
  <c r="BS64" i="72"/>
  <c r="BU64" i="72" s="1"/>
  <c r="BS65" i="72" s="1"/>
  <c r="GR74" i="72"/>
  <c r="GT74" i="72" s="1"/>
  <c r="GT73" i="72"/>
  <c r="FF63" i="72"/>
  <c r="FD64" i="72"/>
  <c r="FF64" i="72" s="1"/>
  <c r="BG51" i="72"/>
  <c r="BJ50" i="72"/>
  <c r="GN71" i="72"/>
  <c r="CE66" i="72"/>
  <c r="CG66" i="72" s="1"/>
  <c r="CE67" i="72" s="1"/>
  <c r="CG65" i="72"/>
  <c r="CW73" i="72"/>
  <c r="CU74" i="72"/>
  <c r="CW74" i="72" s="1"/>
  <c r="CU75" i="72" s="1"/>
  <c r="AM64" i="72"/>
  <c r="AO64" i="72" s="1"/>
  <c r="AM65" i="72" s="1"/>
  <c r="AO63" i="72"/>
  <c r="FH65" i="72"/>
  <c r="BR54" i="72"/>
  <c r="BO55" i="72"/>
  <c r="GJ67" i="72"/>
  <c r="E59" i="72"/>
  <c r="C60" i="72"/>
  <c r="E60" i="72" s="1"/>
  <c r="C61" i="72" s="1"/>
  <c r="FR65" i="72"/>
  <c r="FP66" i="72"/>
  <c r="FR66" i="72" s="1"/>
  <c r="CI68" i="72"/>
  <c r="CK68" i="72" s="1"/>
  <c r="CI69" i="72" s="1"/>
  <c r="CK67" i="72"/>
  <c r="S56" i="72"/>
  <c r="U56" i="72" s="1"/>
  <c r="S57" i="72" s="1"/>
  <c r="U55" i="72"/>
  <c r="AA62" i="72"/>
  <c r="AC62" i="72" s="1"/>
  <c r="AA63" i="72" s="1"/>
  <c r="AC61" i="72"/>
  <c r="AE60" i="72"/>
  <c r="AG60" i="72" s="1"/>
  <c r="AE61" i="72" s="1"/>
  <c r="AG59" i="72"/>
  <c r="O62" i="72"/>
  <c r="Q62" i="72" s="1"/>
  <c r="O63" i="72" s="1"/>
  <c r="Q61" i="72"/>
  <c r="AS61" i="72"/>
  <c r="AQ62" i="72"/>
  <c r="AS62" i="72" s="1"/>
  <c r="AQ63" i="72" s="1"/>
  <c r="FZ69" i="72"/>
  <c r="FX70" i="72"/>
  <c r="FZ70" i="72" s="1"/>
  <c r="GF70" i="72"/>
  <c r="GH70" i="72" s="1"/>
  <c r="GH69" i="72"/>
  <c r="U46" i="55" l="1"/>
  <c r="V46" i="55" s="1"/>
  <c r="S47" i="55"/>
  <c r="U47" i="55" s="1"/>
  <c r="G47" i="55"/>
  <c r="I47" i="55" s="1"/>
  <c r="I46" i="55"/>
  <c r="J46" i="55" s="1"/>
  <c r="Y48" i="55"/>
  <c r="Z48" i="55" s="1"/>
  <c r="W49" i="55"/>
  <c r="Y49" i="55" s="1"/>
  <c r="N47" i="55"/>
  <c r="K48" i="55"/>
  <c r="AK52" i="55"/>
  <c r="AL52" i="55" s="1"/>
  <c r="AI53" i="55"/>
  <c r="AK53" i="55" s="1"/>
  <c r="EA120" i="72"/>
  <c r="EC120" i="72" s="1"/>
  <c r="EC119" i="72"/>
  <c r="DW117" i="72"/>
  <c r="DS119" i="72"/>
  <c r="DQ145" i="72"/>
  <c r="DO146" i="72"/>
  <c r="DQ146" i="72" s="1"/>
  <c r="BM53" i="72"/>
  <c r="BN53" i="72" s="1"/>
  <c r="BK54" i="72"/>
  <c r="BM54" i="72" s="1"/>
  <c r="BC52" i="72"/>
  <c r="BE52" i="72" s="1"/>
  <c r="BE51" i="72"/>
  <c r="BF51" i="72" s="1"/>
  <c r="C44" i="55"/>
  <c r="F43" i="55"/>
  <c r="AM43" i="55" s="1"/>
  <c r="AN43" i="55" s="1"/>
  <c r="O46" i="55"/>
  <c r="R45" i="55"/>
  <c r="AA50" i="55"/>
  <c r="AD49" i="55"/>
  <c r="AE54" i="55"/>
  <c r="AH53" i="55"/>
  <c r="A28" i="64"/>
  <c r="F29" i="64"/>
  <c r="DM95" i="72"/>
  <c r="DK96" i="72"/>
  <c r="DM96" i="72" s="1"/>
  <c r="DG94" i="72"/>
  <c r="DI94" i="72" s="1"/>
  <c r="DI93" i="72"/>
  <c r="DE91" i="72"/>
  <c r="DC92" i="72"/>
  <c r="DE92" i="72" s="1"/>
  <c r="DA91" i="72"/>
  <c r="CY92" i="72"/>
  <c r="DA92" i="72" s="1"/>
  <c r="AC63" i="72"/>
  <c r="AA64" i="72"/>
  <c r="AC64" i="72" s="1"/>
  <c r="AA65" i="72" s="1"/>
  <c r="CI70" i="72"/>
  <c r="CK70" i="72" s="1"/>
  <c r="CI71" i="72" s="1"/>
  <c r="CK69" i="72"/>
  <c r="AO65" i="72"/>
  <c r="AM66" i="72"/>
  <c r="AO66" i="72" s="1"/>
  <c r="AM67" i="72" s="1"/>
  <c r="CG67" i="72"/>
  <c r="CE68" i="72"/>
  <c r="CG68" i="72" s="1"/>
  <c r="CE69" i="72" s="1"/>
  <c r="BG52" i="72"/>
  <c r="BI52" i="72" s="1"/>
  <c r="BI51" i="72"/>
  <c r="BJ51" i="72" s="1"/>
  <c r="GR75" i="72"/>
  <c r="K60" i="72"/>
  <c r="M60" i="72" s="1"/>
  <c r="K61" i="72" s="1"/>
  <c r="M59" i="72"/>
  <c r="AU51" i="72"/>
  <c r="AX50" i="72"/>
  <c r="CS73" i="72"/>
  <c r="CQ74" i="72"/>
  <c r="CS74" i="72" s="1"/>
  <c r="CQ75" i="72" s="1"/>
  <c r="AS63" i="72"/>
  <c r="AQ64" i="72"/>
  <c r="AS64" i="72" s="1"/>
  <c r="AQ65" i="72" s="1"/>
  <c r="FP67" i="72"/>
  <c r="CW75" i="72"/>
  <c r="CU76" i="72"/>
  <c r="CW76" i="72" s="1"/>
  <c r="CU77" i="72" s="1"/>
  <c r="FD65" i="72"/>
  <c r="BS66" i="72"/>
  <c r="BU66" i="72" s="1"/>
  <c r="BS67" i="72" s="1"/>
  <c r="BU65" i="72"/>
  <c r="BY67" i="72"/>
  <c r="BW68" i="72"/>
  <c r="BY68" i="72" s="1"/>
  <c r="BW69" i="72" s="1"/>
  <c r="GF71" i="72"/>
  <c r="AE62" i="72"/>
  <c r="AG62" i="72" s="1"/>
  <c r="AE63" i="72" s="1"/>
  <c r="AG61" i="72"/>
  <c r="S58" i="72"/>
  <c r="U58" i="72" s="1"/>
  <c r="S59" i="72" s="1"/>
  <c r="U57" i="72"/>
  <c r="GJ68" i="72"/>
  <c r="GL68" i="72" s="1"/>
  <c r="GL67" i="72"/>
  <c r="FJ65" i="72"/>
  <c r="FH66" i="72"/>
  <c r="FJ66" i="72" s="1"/>
  <c r="GN72" i="72"/>
  <c r="GP72" i="72" s="1"/>
  <c r="GP71" i="72"/>
  <c r="GB67" i="72"/>
  <c r="G62" i="72"/>
  <c r="I62" i="72" s="1"/>
  <c r="G63" i="72" s="1"/>
  <c r="I61" i="72"/>
  <c r="W62" i="72"/>
  <c r="Y62" i="72" s="1"/>
  <c r="W63" i="72" s="1"/>
  <c r="Y61" i="72"/>
  <c r="FN65" i="72"/>
  <c r="FL66" i="72"/>
  <c r="FN66" i="72" s="1"/>
  <c r="AY51" i="72"/>
  <c r="BB50" i="72"/>
  <c r="FX71" i="72"/>
  <c r="E61" i="72"/>
  <c r="C62" i="72"/>
  <c r="E62" i="72" s="1"/>
  <c r="C63" i="72" s="1"/>
  <c r="BO56" i="72"/>
  <c r="BQ56" i="72" s="1"/>
  <c r="BQ55" i="72"/>
  <c r="BR55" i="72" s="1"/>
  <c r="CA68" i="72"/>
  <c r="CC68" i="72" s="1"/>
  <c r="CA69" i="72" s="1"/>
  <c r="CC67" i="72"/>
  <c r="FT67" i="72"/>
  <c r="CM76" i="72"/>
  <c r="CO76" i="72" s="1"/>
  <c r="CM77" i="72" s="1"/>
  <c r="CO75" i="72"/>
  <c r="Q63" i="72"/>
  <c r="O64" i="72"/>
  <c r="Q64" i="72" s="1"/>
  <c r="O65" i="72" s="1"/>
  <c r="AK65" i="72"/>
  <c r="AI66" i="72"/>
  <c r="AK66" i="72" s="1"/>
  <c r="AI67" i="72" s="1"/>
  <c r="S48" i="55" l="1"/>
  <c r="V47" i="55"/>
  <c r="J47" i="55"/>
  <c r="G48" i="55"/>
  <c r="AL53" i="55"/>
  <c r="AI54" i="55"/>
  <c r="K49" i="55"/>
  <c r="M49" i="55" s="1"/>
  <c r="M48" i="55"/>
  <c r="N48" i="55" s="1"/>
  <c r="W50" i="55"/>
  <c r="Z49" i="55"/>
  <c r="H47" i="48"/>
  <c r="H57" i="48" s="1"/>
  <c r="H35" i="48" s="1"/>
  <c r="H36" i="48" s="1"/>
  <c r="EA121" i="72"/>
  <c r="DY117" i="72"/>
  <c r="DW118" i="72"/>
  <c r="DY118" i="72" s="1"/>
  <c r="DU119" i="72"/>
  <c r="DS120" i="72"/>
  <c r="DU120" i="72" s="1"/>
  <c r="DO147" i="72"/>
  <c r="BK55" i="72"/>
  <c r="BN54" i="72"/>
  <c r="BC53" i="72"/>
  <c r="BF52" i="72"/>
  <c r="O47" i="55"/>
  <c r="Q47" i="55" s="1"/>
  <c r="Q46" i="55"/>
  <c r="R46" i="55" s="1"/>
  <c r="E44" i="55"/>
  <c r="F44" i="55" s="1"/>
  <c r="AM44" i="55" s="1"/>
  <c r="AO44" i="55" s="1"/>
  <c r="C45" i="55"/>
  <c r="E45" i="55" s="1"/>
  <c r="AE55" i="55"/>
  <c r="AG55" i="55" s="1"/>
  <c r="AG54" i="55"/>
  <c r="AH54" i="55" s="1"/>
  <c r="AA51" i="55"/>
  <c r="AC51" i="55" s="1"/>
  <c r="AC50" i="55"/>
  <c r="AD50" i="55" s="1"/>
  <c r="A29" i="64"/>
  <c r="DK97" i="72"/>
  <c r="DG95" i="72"/>
  <c r="DC93" i="72"/>
  <c r="CY93" i="72"/>
  <c r="Q65" i="72"/>
  <c r="O66" i="72"/>
  <c r="Q66" i="72" s="1"/>
  <c r="O67" i="72" s="1"/>
  <c r="FL67" i="72"/>
  <c r="BY69" i="72"/>
  <c r="BW70" i="72"/>
  <c r="BY70" i="72" s="1"/>
  <c r="BW71" i="72" s="1"/>
  <c r="CU78" i="72"/>
  <c r="CW78" i="72" s="1"/>
  <c r="CU79" i="72" s="1"/>
  <c r="CW77" i="72"/>
  <c r="AS65" i="72"/>
  <c r="AQ66" i="72"/>
  <c r="AS66" i="72" s="1"/>
  <c r="AQ67" i="72" s="1"/>
  <c r="AM68" i="72"/>
  <c r="AO68" i="72" s="1"/>
  <c r="AM69" i="72" s="1"/>
  <c r="AO67" i="72"/>
  <c r="AC65" i="72"/>
  <c r="AA66" i="72"/>
  <c r="AC66" i="72" s="1"/>
  <c r="AA67" i="72" s="1"/>
  <c r="FV67" i="72"/>
  <c r="FT68" i="72"/>
  <c r="FV68" i="72" s="1"/>
  <c r="BR56" i="72"/>
  <c r="BO57" i="72"/>
  <c r="FZ71" i="72"/>
  <c r="FX72" i="72"/>
  <c r="FZ72" i="72" s="1"/>
  <c r="G64" i="72"/>
  <c r="I64" i="72" s="1"/>
  <c r="G65" i="72" s="1"/>
  <c r="I63" i="72"/>
  <c r="GN73" i="72"/>
  <c r="GJ69" i="72"/>
  <c r="AG63" i="72"/>
  <c r="AE64" i="72"/>
  <c r="AG64" i="72" s="1"/>
  <c r="AE65" i="72" s="1"/>
  <c r="BS68" i="72"/>
  <c r="BU68" i="72" s="1"/>
  <c r="BS69" i="72" s="1"/>
  <c r="BU67" i="72"/>
  <c r="AU52" i="72"/>
  <c r="AW52" i="72" s="1"/>
  <c r="AW51" i="72"/>
  <c r="AX51" i="72" s="1"/>
  <c r="BG53" i="72"/>
  <c r="BJ52" i="72"/>
  <c r="AK67" i="72"/>
  <c r="AI68" i="72"/>
  <c r="AK68" i="72" s="1"/>
  <c r="AI69" i="72" s="1"/>
  <c r="C64" i="72"/>
  <c r="E64" i="72" s="1"/>
  <c r="C65" i="72" s="1"/>
  <c r="E63" i="72"/>
  <c r="FH67" i="72"/>
  <c r="CQ76" i="72"/>
  <c r="CS76" i="72" s="1"/>
  <c r="CQ77" i="72" s="1"/>
  <c r="CS75" i="72"/>
  <c r="CE70" i="72"/>
  <c r="CG70" i="72" s="1"/>
  <c r="CE71" i="72" s="1"/>
  <c r="CG69" i="72"/>
  <c r="CO77" i="72"/>
  <c r="CM78" i="72"/>
  <c r="CO78" i="72" s="1"/>
  <c r="CM79" i="72" s="1"/>
  <c r="CC69" i="72"/>
  <c r="CA70" i="72"/>
  <c r="CC70" i="72" s="1"/>
  <c r="CA71" i="72" s="1"/>
  <c r="AY52" i="72"/>
  <c r="BA52" i="72" s="1"/>
  <c r="BA51" i="72"/>
  <c r="BB51" i="72" s="1"/>
  <c r="Y63" i="72"/>
  <c r="W64" i="72"/>
  <c r="Y64" i="72" s="1"/>
  <c r="W65" i="72" s="1"/>
  <c r="GB68" i="72"/>
  <c r="GD68" i="72" s="1"/>
  <c r="GD67" i="72"/>
  <c r="S60" i="72"/>
  <c r="U60" i="72" s="1"/>
  <c r="S61" i="72" s="1"/>
  <c r="U59" i="72"/>
  <c r="GF72" i="72"/>
  <c r="GH72" i="72" s="1"/>
  <c r="GH71" i="72"/>
  <c r="FD66" i="72"/>
  <c r="FF66" i="72" s="1"/>
  <c r="FF65" i="72"/>
  <c r="FR67" i="72"/>
  <c r="FP68" i="72"/>
  <c r="FR68" i="72" s="1"/>
  <c r="M61" i="72"/>
  <c r="K62" i="72"/>
  <c r="M62" i="72" s="1"/>
  <c r="K63" i="72" s="1"/>
  <c r="GT75" i="72"/>
  <c r="GR76" i="72"/>
  <c r="GT76" i="72" s="1"/>
  <c r="CK71" i="72"/>
  <c r="CI72" i="72"/>
  <c r="CK72" i="72" s="1"/>
  <c r="CI73" i="72" s="1"/>
  <c r="H73" i="48" l="1"/>
  <c r="S49" i="55"/>
  <c r="U49" i="55" s="1"/>
  <c r="U48" i="55"/>
  <c r="V48" i="55" s="1"/>
  <c r="K50" i="55"/>
  <c r="N49" i="55"/>
  <c r="I48" i="55"/>
  <c r="J48" i="55" s="1"/>
  <c r="G49" i="55"/>
  <c r="I49" i="55" s="1"/>
  <c r="AK54" i="55"/>
  <c r="AL54" i="55" s="1"/>
  <c r="AI55" i="55"/>
  <c r="AK55" i="55" s="1"/>
  <c r="Y50" i="55"/>
  <c r="Z50" i="55" s="1"/>
  <c r="W51" i="55"/>
  <c r="Y51" i="55" s="1"/>
  <c r="EA122" i="72"/>
  <c r="EC122" i="72" s="1"/>
  <c r="EC121" i="72"/>
  <c r="DW119" i="72"/>
  <c r="DS121" i="72"/>
  <c r="DQ147" i="72"/>
  <c r="DO148" i="72"/>
  <c r="DQ148" i="72" s="1"/>
  <c r="BK56" i="72"/>
  <c r="BM56" i="72" s="1"/>
  <c r="BM55" i="72"/>
  <c r="BN55" i="72" s="1"/>
  <c r="BC54" i="72"/>
  <c r="BE54" i="72" s="1"/>
  <c r="BE53" i="72"/>
  <c r="BF53" i="72" s="1"/>
  <c r="C46" i="55"/>
  <c r="F45" i="55"/>
  <c r="AM45" i="55" s="1"/>
  <c r="AN45" i="55" s="1"/>
  <c r="AA52" i="55"/>
  <c r="AD51" i="55"/>
  <c r="AE56" i="55"/>
  <c r="AH55" i="55"/>
  <c r="O48" i="55"/>
  <c r="R47" i="55"/>
  <c r="F32" i="64"/>
  <c r="A31" i="64"/>
  <c r="DM97" i="72"/>
  <c r="DK98" i="72"/>
  <c r="DM98" i="72" s="1"/>
  <c r="DI95" i="72"/>
  <c r="DG96" i="72"/>
  <c r="DI96" i="72" s="1"/>
  <c r="DE93" i="72"/>
  <c r="DC94" i="72"/>
  <c r="DE94" i="72" s="1"/>
  <c r="DA93" i="72"/>
  <c r="CY94" i="72"/>
  <c r="DA94" i="72" s="1"/>
  <c r="FX73" i="72"/>
  <c r="FT69" i="72"/>
  <c r="AS67" i="72"/>
  <c r="AQ68" i="72"/>
  <c r="AS68" i="72" s="1"/>
  <c r="AQ69" i="72" s="1"/>
  <c r="BW72" i="72"/>
  <c r="BY72" i="72" s="1"/>
  <c r="BW73" i="72" s="1"/>
  <c r="BY71" i="72"/>
  <c r="O68" i="72"/>
  <c r="Q68" i="72" s="1"/>
  <c r="O69" i="72" s="1"/>
  <c r="Q67" i="72"/>
  <c r="GF73" i="72"/>
  <c r="GB69" i="72"/>
  <c r="AY53" i="72"/>
  <c r="BB52" i="72"/>
  <c r="CQ78" i="72"/>
  <c r="CS78" i="72" s="1"/>
  <c r="CQ79" i="72" s="1"/>
  <c r="CS77" i="72"/>
  <c r="AX52" i="72"/>
  <c r="AU53" i="72"/>
  <c r="GP73" i="72"/>
  <c r="GN74" i="72"/>
  <c r="GP74" i="72" s="1"/>
  <c r="AO69" i="72"/>
  <c r="AM70" i="72"/>
  <c r="AO70" i="72" s="1"/>
  <c r="AM71" i="72" s="1"/>
  <c r="CI74" i="72"/>
  <c r="CK74" i="72" s="1"/>
  <c r="CI75" i="72" s="1"/>
  <c r="CK73" i="72"/>
  <c r="M63" i="72"/>
  <c r="K64" i="72"/>
  <c r="M64" i="72" s="1"/>
  <c r="K65" i="72" s="1"/>
  <c r="Y65" i="72"/>
  <c r="W66" i="72"/>
  <c r="Y66" i="72" s="1"/>
  <c r="W67" i="72" s="1"/>
  <c r="CA72" i="72"/>
  <c r="CC72" i="72" s="1"/>
  <c r="CA73" i="72" s="1"/>
  <c r="CC71" i="72"/>
  <c r="BQ57" i="72"/>
  <c r="BR57" i="72" s="1"/>
  <c r="BO58" i="72"/>
  <c r="BQ58" i="72" s="1"/>
  <c r="AC67" i="72"/>
  <c r="AA68" i="72"/>
  <c r="AC68" i="72" s="1"/>
  <c r="AA69" i="72" s="1"/>
  <c r="FD67" i="72"/>
  <c r="S62" i="72"/>
  <c r="U62" i="72" s="1"/>
  <c r="S63" i="72" s="1"/>
  <c r="U61" i="72"/>
  <c r="CG71" i="72"/>
  <c r="CE72" i="72"/>
  <c r="CG72" i="72" s="1"/>
  <c r="CE73" i="72" s="1"/>
  <c r="E65" i="72"/>
  <c r="C66" i="72"/>
  <c r="E66" i="72" s="1"/>
  <c r="C67" i="72" s="1"/>
  <c r="BG54" i="72"/>
  <c r="BI54" i="72" s="1"/>
  <c r="BI53" i="72"/>
  <c r="BJ53" i="72" s="1"/>
  <c r="BS70" i="72"/>
  <c r="BU70" i="72" s="1"/>
  <c r="BS71" i="72" s="1"/>
  <c r="BU69" i="72"/>
  <c r="GJ70" i="72"/>
  <c r="GL70" i="72" s="1"/>
  <c r="GL69" i="72"/>
  <c r="G66" i="72"/>
  <c r="I66" i="72" s="1"/>
  <c r="G67" i="72" s="1"/>
  <c r="I65" i="72"/>
  <c r="CU80" i="72"/>
  <c r="CW80" i="72" s="1"/>
  <c r="CU81" i="72" s="1"/>
  <c r="CW79" i="72"/>
  <c r="FN67" i="72"/>
  <c r="FL68" i="72"/>
  <c r="FN68" i="72" s="1"/>
  <c r="GR77" i="72"/>
  <c r="FP69" i="72"/>
  <c r="CM80" i="72"/>
  <c r="CO80" i="72" s="1"/>
  <c r="CM81" i="72" s="1"/>
  <c r="CO79" i="72"/>
  <c r="FJ67" i="72"/>
  <c r="FH68" i="72"/>
  <c r="FJ68" i="72" s="1"/>
  <c r="AK69" i="72"/>
  <c r="AI70" i="72"/>
  <c r="AK70" i="72" s="1"/>
  <c r="AI71" i="72" s="1"/>
  <c r="AE66" i="72"/>
  <c r="AG66" i="72" s="1"/>
  <c r="AE67" i="72" s="1"/>
  <c r="AG65" i="72"/>
  <c r="H220" i="93" l="1"/>
  <c r="H223" i="93" s="1"/>
  <c r="H138" i="93"/>
  <c r="H141" i="93" s="1"/>
  <c r="H67" i="93"/>
  <c r="H247" i="93"/>
  <c r="H250" i="93" s="1"/>
  <c r="E250" i="93" s="1"/>
  <c r="H162" i="93"/>
  <c r="H165" i="93" s="1"/>
  <c r="H94" i="93"/>
  <c r="H97" i="93" s="1"/>
  <c r="E97" i="93" s="1"/>
  <c r="V49" i="55"/>
  <c r="S50" i="55"/>
  <c r="H38" i="48"/>
  <c r="H39" i="48" s="1"/>
  <c r="H260" i="48"/>
  <c r="H149" i="65"/>
  <c r="I149" i="65" s="1"/>
  <c r="I151" i="65" s="1"/>
  <c r="H93" i="48" s="1"/>
  <c r="F42" i="70"/>
  <c r="G42" i="70" s="1"/>
  <c r="F22" i="70"/>
  <c r="G22" i="70" s="1"/>
  <c r="W52" i="55"/>
  <c r="Z51" i="55"/>
  <c r="G50" i="55"/>
  <c r="J49" i="55"/>
  <c r="AI56" i="55"/>
  <c r="AL55" i="55"/>
  <c r="M50" i="55"/>
  <c r="N50" i="55" s="1"/>
  <c r="K51" i="55"/>
  <c r="M51" i="55" s="1"/>
  <c r="EA123" i="72"/>
  <c r="DY119" i="72"/>
  <c r="DW120" i="72"/>
  <c r="DY120" i="72" s="1"/>
  <c r="DU121" i="72"/>
  <c r="DS122" i="72"/>
  <c r="DU122" i="72" s="1"/>
  <c r="DO149" i="72"/>
  <c r="DQ149" i="72" s="1"/>
  <c r="BK57" i="72"/>
  <c r="BN56" i="72"/>
  <c r="BC55" i="72"/>
  <c r="BF54" i="72"/>
  <c r="O49" i="55"/>
  <c r="Q49" i="55" s="1"/>
  <c r="Q48" i="55"/>
  <c r="R48" i="55" s="1"/>
  <c r="AC52" i="55"/>
  <c r="AD52" i="55" s="1"/>
  <c r="AA53" i="55"/>
  <c r="AC53" i="55" s="1"/>
  <c r="AE57" i="55"/>
  <c r="AG57" i="55" s="1"/>
  <c r="AG56" i="55"/>
  <c r="AH56" i="55" s="1"/>
  <c r="C47" i="55"/>
  <c r="E47" i="55" s="1"/>
  <c r="E46" i="55"/>
  <c r="F46" i="55" s="1"/>
  <c r="AM46" i="55" s="1"/>
  <c r="AO46" i="55" s="1"/>
  <c r="F72" i="64"/>
  <c r="F129" i="64"/>
  <c r="A32" i="64"/>
  <c r="DK99" i="72"/>
  <c r="DG97" i="72"/>
  <c r="DC95" i="72"/>
  <c r="CY95" i="72"/>
  <c r="FH69" i="72"/>
  <c r="FL69" i="72"/>
  <c r="AC69" i="72"/>
  <c r="AA70" i="72"/>
  <c r="AC70" i="72" s="1"/>
  <c r="AA71" i="72" s="1"/>
  <c r="K66" i="72"/>
  <c r="M66" i="72" s="1"/>
  <c r="K67" i="72" s="1"/>
  <c r="M65" i="72"/>
  <c r="AM72" i="72"/>
  <c r="AO72" i="72" s="1"/>
  <c r="AM73" i="72" s="1"/>
  <c r="AO71" i="72"/>
  <c r="AW53" i="72"/>
  <c r="AX53" i="72" s="1"/>
  <c r="AU54" i="72"/>
  <c r="AW54" i="72" s="1"/>
  <c r="AE68" i="72"/>
  <c r="AG68" i="72" s="1"/>
  <c r="AE69" i="72" s="1"/>
  <c r="AG67" i="72"/>
  <c r="FR69" i="72"/>
  <c r="FP70" i="72"/>
  <c r="FR70" i="72" s="1"/>
  <c r="GJ71" i="72"/>
  <c r="BG55" i="72"/>
  <c r="BJ54" i="72"/>
  <c r="S64" i="72"/>
  <c r="U64" i="72" s="1"/>
  <c r="S65" i="72" s="1"/>
  <c r="U63" i="72"/>
  <c r="CA74" i="72"/>
  <c r="CC74" i="72" s="1"/>
  <c r="CA75" i="72" s="1"/>
  <c r="CC73" i="72"/>
  <c r="AY54" i="72"/>
  <c r="BA54" i="72" s="1"/>
  <c r="BA53" i="72"/>
  <c r="BB53" i="72" s="1"/>
  <c r="GF74" i="72"/>
  <c r="GH74" i="72" s="1"/>
  <c r="GH73" i="72"/>
  <c r="BY73" i="72"/>
  <c r="BW74" i="72"/>
  <c r="BY74" i="72" s="1"/>
  <c r="BW75" i="72" s="1"/>
  <c r="FV69" i="72"/>
  <c r="FT70" i="72"/>
  <c r="FV70" i="72" s="1"/>
  <c r="AK71" i="72"/>
  <c r="AI72" i="72"/>
  <c r="AK72" i="72" s="1"/>
  <c r="AI73" i="72" s="1"/>
  <c r="E67" i="72"/>
  <c r="C68" i="72"/>
  <c r="E68" i="72" s="1"/>
  <c r="C69" i="72" s="1"/>
  <c r="CG73" i="72"/>
  <c r="CE74" i="72"/>
  <c r="CG74" i="72" s="1"/>
  <c r="CE75" i="72" s="1"/>
  <c r="BR58" i="72"/>
  <c r="BO59" i="72"/>
  <c r="W68" i="72"/>
  <c r="Y68" i="72" s="1"/>
  <c r="W69" i="72" s="1"/>
  <c r="Y67" i="72"/>
  <c r="GN75" i="72"/>
  <c r="AS69" i="72"/>
  <c r="AQ70" i="72"/>
  <c r="AS70" i="72" s="1"/>
  <c r="AQ71" i="72" s="1"/>
  <c r="CO81" i="72"/>
  <c r="CM82" i="72"/>
  <c r="CO82" i="72" s="1"/>
  <c r="CM83" i="72" s="1"/>
  <c r="GT77" i="72"/>
  <c r="GR78" i="72"/>
  <c r="GT78" i="72" s="1"/>
  <c r="CU82" i="72"/>
  <c r="CW82" i="72" s="1"/>
  <c r="CU83" i="72" s="1"/>
  <c r="CW81" i="72"/>
  <c r="G68" i="72"/>
  <c r="I68" i="72" s="1"/>
  <c r="G69" i="72" s="1"/>
  <c r="I67" i="72"/>
  <c r="BU71" i="72"/>
  <c r="BS72" i="72"/>
  <c r="BU72" i="72" s="1"/>
  <c r="BS73" i="72" s="1"/>
  <c r="FF67" i="72"/>
  <c r="FD68" i="72"/>
  <c r="FF68" i="72" s="1"/>
  <c r="CI76" i="72"/>
  <c r="CK76" i="72" s="1"/>
  <c r="CI77" i="72" s="1"/>
  <c r="CK75" i="72"/>
  <c r="CS79" i="72"/>
  <c r="CQ80" i="72"/>
  <c r="CS80" i="72" s="1"/>
  <c r="CQ81" i="72" s="1"/>
  <c r="GB70" i="72"/>
  <c r="GD70" i="72" s="1"/>
  <c r="GD69" i="72"/>
  <c r="Q69" i="72"/>
  <c r="O70" i="72"/>
  <c r="Q70" i="72" s="1"/>
  <c r="O71" i="72" s="1"/>
  <c r="FZ73" i="72"/>
  <c r="FX74" i="72"/>
  <c r="FZ74" i="72" s="1"/>
  <c r="G44" i="70" l="1"/>
  <c r="H70" i="93"/>
  <c r="H11" i="93" s="1"/>
  <c r="E165" i="93"/>
  <c r="H13" i="93"/>
  <c r="E13" i="93" s="1"/>
  <c r="E141" i="93"/>
  <c r="H290" i="93"/>
  <c r="H310" i="93"/>
  <c r="H313" i="93" s="1"/>
  <c r="E313" i="93" s="1"/>
  <c r="I70" i="54" s="1"/>
  <c r="H14" i="93"/>
  <c r="H241" i="48"/>
  <c r="T158" i="65"/>
  <c r="H154" i="48"/>
  <c r="H155" i="48" s="1"/>
  <c r="H157" i="48" s="1"/>
  <c r="U50" i="55"/>
  <c r="V50" i="55" s="1"/>
  <c r="S51" i="55"/>
  <c r="U51" i="55" s="1"/>
  <c r="K52" i="55"/>
  <c r="N51" i="55"/>
  <c r="G51" i="55"/>
  <c r="I51" i="55" s="1"/>
  <c r="I50" i="55"/>
  <c r="J50" i="55" s="1"/>
  <c r="AI57" i="55"/>
  <c r="AK57" i="55" s="1"/>
  <c r="AK56" i="55"/>
  <c r="AL56" i="55" s="1"/>
  <c r="Y52" i="55"/>
  <c r="Z52" i="55" s="1"/>
  <c r="W53" i="55"/>
  <c r="Y53" i="55" s="1"/>
  <c r="EA124" i="72"/>
  <c r="EC124" i="72" s="1"/>
  <c r="EC123" i="72"/>
  <c r="DW121" i="72"/>
  <c r="DS123" i="72"/>
  <c r="DO150" i="72"/>
  <c r="DQ150" i="72" s="1"/>
  <c r="DO151" i="72" s="1"/>
  <c r="BM57" i="72"/>
  <c r="BN57" i="72" s="1"/>
  <c r="BK58" i="72"/>
  <c r="BM58" i="72" s="1"/>
  <c r="BC56" i="72"/>
  <c r="BE56" i="72" s="1"/>
  <c r="BE55" i="72"/>
  <c r="BF55" i="72" s="1"/>
  <c r="C48" i="55"/>
  <c r="F47" i="55"/>
  <c r="AM47" i="55" s="1"/>
  <c r="AN47" i="55" s="1"/>
  <c r="O50" i="55"/>
  <c r="R49" i="55"/>
  <c r="AE58" i="55"/>
  <c r="AH57" i="55"/>
  <c r="AA54" i="55"/>
  <c r="AD53" i="55"/>
  <c r="A37" i="64"/>
  <c r="A57" i="65" s="1"/>
  <c r="F213" i="64"/>
  <c r="DM99" i="72"/>
  <c r="DK100" i="72"/>
  <c r="DM100" i="72" s="1"/>
  <c r="DI97" i="72"/>
  <c r="DG98" i="72"/>
  <c r="DI98" i="72" s="1"/>
  <c r="DE95" i="72"/>
  <c r="DC96" i="72"/>
  <c r="DE96" i="72" s="1"/>
  <c r="DA95" i="72"/>
  <c r="CY96" i="72"/>
  <c r="DA96" i="72" s="1"/>
  <c r="FX75" i="72"/>
  <c r="BS74" i="72"/>
  <c r="BU74" i="72" s="1"/>
  <c r="BS75" i="72" s="1"/>
  <c r="BU73" i="72"/>
  <c r="CM84" i="72"/>
  <c r="CO84" i="72" s="1"/>
  <c r="CM85" i="72" s="1"/>
  <c r="CO83" i="72"/>
  <c r="BO60" i="72"/>
  <c r="BQ60" i="72" s="1"/>
  <c r="BQ59" i="72"/>
  <c r="BR59" i="72" s="1"/>
  <c r="C70" i="72"/>
  <c r="E70" i="72" s="1"/>
  <c r="C71" i="72" s="1"/>
  <c r="E69" i="72"/>
  <c r="FT71" i="72"/>
  <c r="AC71" i="72"/>
  <c r="AA72" i="72"/>
  <c r="AC72" i="72" s="1"/>
  <c r="AA73" i="72" s="1"/>
  <c r="GB71" i="72"/>
  <c r="CK77" i="72"/>
  <c r="CI78" i="72"/>
  <c r="CK78" i="72" s="1"/>
  <c r="CI79" i="72" s="1"/>
  <c r="CW83" i="72"/>
  <c r="CU84" i="72"/>
  <c r="CW84" i="72" s="1"/>
  <c r="CU85" i="72" s="1"/>
  <c r="GP75" i="72"/>
  <c r="GN76" i="72"/>
  <c r="GP76" i="72" s="1"/>
  <c r="GF75" i="72"/>
  <c r="CA76" i="72"/>
  <c r="CC76" i="72" s="1"/>
  <c r="CA77" i="72" s="1"/>
  <c r="CC75" i="72"/>
  <c r="BG56" i="72"/>
  <c r="BI56" i="72" s="1"/>
  <c r="BI55" i="72"/>
  <c r="BJ55" i="72" s="1"/>
  <c r="AE70" i="72"/>
  <c r="AG70" i="72" s="1"/>
  <c r="AE71" i="72" s="1"/>
  <c r="AG69" i="72"/>
  <c r="AO73" i="72"/>
  <c r="AM74" i="72"/>
  <c r="AO74" i="72" s="1"/>
  <c r="AM75" i="72" s="1"/>
  <c r="FN69" i="72"/>
  <c r="FL70" i="72"/>
  <c r="FN70" i="72" s="1"/>
  <c r="Q71" i="72"/>
  <c r="O72" i="72"/>
  <c r="Q72" i="72" s="1"/>
  <c r="O73" i="72" s="1"/>
  <c r="CQ82" i="72"/>
  <c r="CS82" i="72" s="1"/>
  <c r="CQ83" i="72" s="1"/>
  <c r="CS81" i="72"/>
  <c r="FD69" i="72"/>
  <c r="GR79" i="72"/>
  <c r="AS71" i="72"/>
  <c r="AQ72" i="72"/>
  <c r="AS72" i="72" s="1"/>
  <c r="AQ73" i="72" s="1"/>
  <c r="CG75" i="72"/>
  <c r="CE76" i="72"/>
  <c r="CG76" i="72" s="1"/>
  <c r="CE77" i="72" s="1"/>
  <c r="AK73" i="72"/>
  <c r="AI74" i="72"/>
  <c r="AK74" i="72" s="1"/>
  <c r="AI75" i="72" s="1"/>
  <c r="BW76" i="72"/>
  <c r="BY76" i="72" s="1"/>
  <c r="BW77" i="72" s="1"/>
  <c r="BY75" i="72"/>
  <c r="FP71" i="72"/>
  <c r="AX54" i="72"/>
  <c r="AU55" i="72"/>
  <c r="I69" i="72"/>
  <c r="G70" i="72"/>
  <c r="I70" i="72" s="1"/>
  <c r="G71" i="72" s="1"/>
  <c r="Y69" i="72"/>
  <c r="W70" i="72"/>
  <c r="Y70" i="72" s="1"/>
  <c r="W71" i="72" s="1"/>
  <c r="AY55" i="72"/>
  <c r="BB54" i="72"/>
  <c r="U65" i="72"/>
  <c r="S66" i="72"/>
  <c r="U66" i="72" s="1"/>
  <c r="S67" i="72" s="1"/>
  <c r="GJ72" i="72"/>
  <c r="GL72" i="72" s="1"/>
  <c r="GL71" i="72"/>
  <c r="M67" i="72"/>
  <c r="K68" i="72"/>
  <c r="M68" i="72" s="1"/>
  <c r="K69" i="72" s="1"/>
  <c r="FJ69" i="72"/>
  <c r="FH70" i="72"/>
  <c r="FJ70" i="72" s="1"/>
  <c r="S160" i="65" l="1"/>
  <c r="G160" i="65"/>
  <c r="E70" i="93"/>
  <c r="H293" i="93"/>
  <c r="O91" i="92"/>
  <c r="P91" i="92" s="1"/>
  <c r="Q90" i="92"/>
  <c r="Q82" i="92"/>
  <c r="O80" i="92"/>
  <c r="O87" i="92"/>
  <c r="P87" i="92" s="1"/>
  <c r="Q83" i="92"/>
  <c r="O88" i="92"/>
  <c r="P88" i="92" s="1"/>
  <c r="O86" i="92"/>
  <c r="P86" i="92" s="1"/>
  <c r="Q81" i="92"/>
  <c r="P81" i="92"/>
  <c r="O81" i="92"/>
  <c r="Q89" i="92"/>
  <c r="O89" i="92"/>
  <c r="P89" i="92" s="1"/>
  <c r="Q85" i="92"/>
  <c r="O85" i="92"/>
  <c r="P85" i="92" s="1"/>
  <c r="Q86" i="92"/>
  <c r="O82" i="92"/>
  <c r="P82" i="92" s="1"/>
  <c r="Q87" i="92"/>
  <c r="Q84" i="92"/>
  <c r="O84" i="92"/>
  <c r="P84" i="92" s="1"/>
  <c r="L100" i="92"/>
  <c r="L102" i="92" s="1"/>
  <c r="L104" i="92" s="1"/>
  <c r="R98" i="92"/>
  <c r="R100" i="92" s="1"/>
  <c r="R102" i="92" s="1"/>
  <c r="L133" i="92"/>
  <c r="L135" i="92" s="1"/>
  <c r="L137" i="92" s="1"/>
  <c r="H182" i="48"/>
  <c r="H184" i="48" s="1"/>
  <c r="H266" i="48" s="1"/>
  <c r="E11" i="93"/>
  <c r="R32" i="92" s="1"/>
  <c r="R34" i="92" s="1"/>
  <c r="R36" i="92" s="1"/>
  <c r="R38" i="92" s="1"/>
  <c r="H242" i="48"/>
  <c r="H15" i="93"/>
  <c r="E15" i="93" s="1"/>
  <c r="E293" i="93"/>
  <c r="G46" i="83"/>
  <c r="O160" i="65"/>
  <c r="G42" i="83" s="1"/>
  <c r="K160" i="65"/>
  <c r="G38" i="83" s="1"/>
  <c r="G34" i="83"/>
  <c r="R160" i="65"/>
  <c r="G45" i="83" s="1"/>
  <c r="N160" i="65"/>
  <c r="G41" i="83" s="1"/>
  <c r="J160" i="65"/>
  <c r="G37" i="83" s="1"/>
  <c r="Q160" i="65"/>
  <c r="G44" i="83" s="1"/>
  <c r="M160" i="65"/>
  <c r="G40" i="83" s="1"/>
  <c r="I160" i="65"/>
  <c r="G36" i="83" s="1"/>
  <c r="P160" i="65"/>
  <c r="G43" i="83" s="1"/>
  <c r="L160" i="65"/>
  <c r="G39" i="83" s="1"/>
  <c r="H160" i="65"/>
  <c r="G35" i="83" s="1"/>
  <c r="S52" i="55"/>
  <c r="V51" i="55"/>
  <c r="I72" i="54"/>
  <c r="I73" i="54" s="1"/>
  <c r="H110" i="48"/>
  <c r="H112" i="48" s="1"/>
  <c r="H264" i="48"/>
  <c r="G52" i="55"/>
  <c r="J51" i="55"/>
  <c r="W54" i="55"/>
  <c r="Z53" i="55"/>
  <c r="DQ151" i="72"/>
  <c r="DO152" i="72"/>
  <c r="DQ152" i="72" s="1"/>
  <c r="AI58" i="55"/>
  <c r="AL57" i="55"/>
  <c r="M52" i="55"/>
  <c r="N52" i="55" s="1"/>
  <c r="K53" i="55"/>
  <c r="M53" i="55" s="1"/>
  <c r="EA125" i="72"/>
  <c r="DY121" i="72"/>
  <c r="DW122" i="72"/>
  <c r="DY122" i="72" s="1"/>
  <c r="DU123" i="72"/>
  <c r="DS124" i="72"/>
  <c r="DU124" i="72" s="1"/>
  <c r="BN58" i="72"/>
  <c r="BK59" i="72"/>
  <c r="BF56" i="72"/>
  <c r="BC57" i="72"/>
  <c r="AC54" i="55"/>
  <c r="AD54" i="55" s="1"/>
  <c r="AA55" i="55"/>
  <c r="AC55" i="55" s="1"/>
  <c r="AE59" i="55"/>
  <c r="AG59" i="55" s="1"/>
  <c r="AG58" i="55"/>
  <c r="AH58" i="55" s="1"/>
  <c r="Q50" i="55"/>
  <c r="R50" i="55" s="1"/>
  <c r="O51" i="55"/>
  <c r="Q51" i="55" s="1"/>
  <c r="C49" i="55"/>
  <c r="E49" i="55" s="1"/>
  <c r="E48" i="55"/>
  <c r="F48" i="55" s="1"/>
  <c r="AM48" i="55" s="1"/>
  <c r="AO48" i="55" s="1"/>
  <c r="DK101" i="72"/>
  <c r="DG99" i="72"/>
  <c r="DC97" i="72"/>
  <c r="CY97" i="72"/>
  <c r="FH71" i="72"/>
  <c r="G72" i="72"/>
  <c r="I72" i="72" s="1"/>
  <c r="G73" i="72" s="1"/>
  <c r="I71" i="72"/>
  <c r="AU56" i="72"/>
  <c r="AW56" i="72" s="1"/>
  <c r="AW55" i="72"/>
  <c r="AX55" i="72" s="1"/>
  <c r="CE78" i="72"/>
  <c r="CG78" i="72" s="1"/>
  <c r="CE79" i="72" s="1"/>
  <c r="CG77" i="72"/>
  <c r="FL71" i="72"/>
  <c r="CU86" i="72"/>
  <c r="CW86" i="72" s="1"/>
  <c r="CU87" i="72" s="1"/>
  <c r="CW85" i="72"/>
  <c r="GJ73" i="72"/>
  <c r="BA55" i="72"/>
  <c r="BB55" i="72" s="1"/>
  <c r="AY56" i="72"/>
  <c r="BA56" i="72" s="1"/>
  <c r="BW78" i="72"/>
  <c r="BY78" i="72" s="1"/>
  <c r="BW79" i="72" s="1"/>
  <c r="BY77" i="72"/>
  <c r="GR80" i="72"/>
  <c r="GT80" i="72" s="1"/>
  <c r="GT79" i="72"/>
  <c r="CS83" i="72"/>
  <c r="CQ84" i="72"/>
  <c r="CS84" i="72" s="1"/>
  <c r="CQ85" i="72" s="1"/>
  <c r="AE72" i="72"/>
  <c r="AG72" i="72" s="1"/>
  <c r="AE73" i="72" s="1"/>
  <c r="AG71" i="72"/>
  <c r="BG57" i="72"/>
  <c r="BJ56" i="72"/>
  <c r="GH75" i="72"/>
  <c r="GF76" i="72"/>
  <c r="GH76" i="72" s="1"/>
  <c r="GD71" i="72"/>
  <c r="GB72" i="72"/>
  <c r="GD72" i="72" s="1"/>
  <c r="FV71" i="72"/>
  <c r="FT72" i="72"/>
  <c r="FV72" i="72" s="1"/>
  <c r="BR60" i="72"/>
  <c r="BO61" i="72"/>
  <c r="BU75" i="72"/>
  <c r="BS76" i="72"/>
  <c r="BU76" i="72" s="1"/>
  <c r="BS77" i="72" s="1"/>
  <c r="K70" i="72"/>
  <c r="M70" i="72" s="1"/>
  <c r="K71" i="72" s="1"/>
  <c r="M69" i="72"/>
  <c r="U67" i="72"/>
  <c r="S68" i="72"/>
  <c r="U68" i="72" s="1"/>
  <c r="S69" i="72" s="1"/>
  <c r="W72" i="72"/>
  <c r="Y72" i="72" s="1"/>
  <c r="W73" i="72" s="1"/>
  <c r="Y71" i="72"/>
  <c r="AI76" i="72"/>
  <c r="AK76" i="72" s="1"/>
  <c r="AI77" i="72" s="1"/>
  <c r="AK75" i="72"/>
  <c r="AS73" i="72"/>
  <c r="AQ74" i="72"/>
  <c r="AS74" i="72" s="1"/>
  <c r="AQ75" i="72" s="1"/>
  <c r="Q73" i="72"/>
  <c r="O74" i="72"/>
  <c r="Q74" i="72" s="1"/>
  <c r="O75" i="72" s="1"/>
  <c r="AM76" i="72"/>
  <c r="AO76" i="72" s="1"/>
  <c r="AM77" i="72" s="1"/>
  <c r="AO75" i="72"/>
  <c r="GN77" i="72"/>
  <c r="CK79" i="72"/>
  <c r="CI80" i="72"/>
  <c r="CK80" i="72" s="1"/>
  <c r="CI81" i="72" s="1"/>
  <c r="AC73" i="72"/>
  <c r="AA74" i="72"/>
  <c r="AC74" i="72" s="1"/>
  <c r="AA75" i="72" s="1"/>
  <c r="FR71" i="72"/>
  <c r="FP72" i="72"/>
  <c r="FR72" i="72" s="1"/>
  <c r="FF69" i="72"/>
  <c r="FD70" i="72"/>
  <c r="FF70" i="72" s="1"/>
  <c r="CC77" i="72"/>
  <c r="CA78" i="72"/>
  <c r="CC78" i="72" s="1"/>
  <c r="CA79" i="72" s="1"/>
  <c r="E71" i="72"/>
  <c r="C72" i="72"/>
  <c r="E72" i="72" s="1"/>
  <c r="C73" i="72" s="1"/>
  <c r="CO85" i="72"/>
  <c r="CM86" i="72"/>
  <c r="CO86" i="72" s="1"/>
  <c r="CM87" i="72" s="1"/>
  <c r="FZ75" i="72"/>
  <c r="FX76" i="72"/>
  <c r="FZ76" i="72" s="1"/>
  <c r="O90" i="92" l="1"/>
  <c r="P90" i="92" s="1"/>
  <c r="O83" i="92"/>
  <c r="P83" i="92" s="1"/>
  <c r="Q80" i="92"/>
  <c r="Q88" i="92"/>
  <c r="N92" i="92"/>
  <c r="Q91" i="92"/>
  <c r="P80" i="92"/>
  <c r="L34" i="92"/>
  <c r="L36" i="92" s="1"/>
  <c r="L38" i="92" s="1"/>
  <c r="H78" i="48" s="1"/>
  <c r="H17" i="93"/>
  <c r="G47" i="83"/>
  <c r="H99" i="48" s="1"/>
  <c r="H100" i="48" s="1"/>
  <c r="S53" i="55"/>
  <c r="U53" i="55" s="1"/>
  <c r="U52" i="55"/>
  <c r="V52" i="55" s="1"/>
  <c r="AK58" i="55"/>
  <c r="AL58" i="55" s="1"/>
  <c r="AI59" i="55"/>
  <c r="AK59" i="55" s="1"/>
  <c r="W55" i="55"/>
  <c r="Y55" i="55" s="1"/>
  <c r="Y54" i="55"/>
  <c r="Z54" i="55" s="1"/>
  <c r="K54" i="55"/>
  <c r="N53" i="55"/>
  <c r="I52" i="55"/>
  <c r="J52" i="55" s="1"/>
  <c r="G53" i="55"/>
  <c r="I53" i="55" s="1"/>
  <c r="EA126" i="72"/>
  <c r="EC126" i="72" s="1"/>
  <c r="EC125" i="72"/>
  <c r="DW123" i="72"/>
  <c r="DS125" i="72"/>
  <c r="BM59" i="72"/>
  <c r="BN59" i="72" s="1"/>
  <c r="BK60" i="72"/>
  <c r="BM60" i="72" s="1"/>
  <c r="BE57" i="72"/>
  <c r="BF57" i="72" s="1"/>
  <c r="BC58" i="72"/>
  <c r="BE58" i="72" s="1"/>
  <c r="AA56" i="55"/>
  <c r="AD55" i="55"/>
  <c r="O52" i="55"/>
  <c r="R51" i="55"/>
  <c r="AE60" i="55"/>
  <c r="AH59" i="55"/>
  <c r="C50" i="55"/>
  <c r="F49" i="55"/>
  <c r="AM49" i="55" s="1"/>
  <c r="AN49" i="55" s="1"/>
  <c r="A38" i="64"/>
  <c r="A58" i="65" s="1"/>
  <c r="DM101" i="72"/>
  <c r="DK102" i="72"/>
  <c r="DM102" i="72" s="1"/>
  <c r="DI99" i="72"/>
  <c r="DG100" i="72"/>
  <c r="DI100" i="72" s="1"/>
  <c r="DE97" i="72"/>
  <c r="DC98" i="72"/>
  <c r="DE98" i="72" s="1"/>
  <c r="DA97" i="72"/>
  <c r="CY98" i="72"/>
  <c r="DA98" i="72" s="1"/>
  <c r="FX77" i="72"/>
  <c r="E73" i="72"/>
  <c r="C74" i="72"/>
  <c r="E74" i="72" s="1"/>
  <c r="C75" i="72" s="1"/>
  <c r="FD71" i="72"/>
  <c r="CK81" i="72"/>
  <c r="CI82" i="72"/>
  <c r="CK82" i="72" s="1"/>
  <c r="CI83" i="72" s="1"/>
  <c r="O76" i="72"/>
  <c r="Q76" i="72" s="1"/>
  <c r="O77" i="72" s="1"/>
  <c r="Q75" i="72"/>
  <c r="U69" i="72"/>
  <c r="S70" i="72"/>
  <c r="U70" i="72" s="1"/>
  <c r="S71" i="72" s="1"/>
  <c r="BU77" i="72"/>
  <c r="BS78" i="72"/>
  <c r="BU78" i="72" s="1"/>
  <c r="BS79" i="72" s="1"/>
  <c r="FT73" i="72"/>
  <c r="GF77" i="72"/>
  <c r="AY57" i="72"/>
  <c r="BB56" i="72"/>
  <c r="AI78" i="72"/>
  <c r="AK78" i="72" s="1"/>
  <c r="AI79" i="72" s="1"/>
  <c r="AK77" i="72"/>
  <c r="AE74" i="72"/>
  <c r="AG74" i="72" s="1"/>
  <c r="AE75" i="72" s="1"/>
  <c r="AG73" i="72"/>
  <c r="CU88" i="72"/>
  <c r="CW88" i="72" s="1"/>
  <c r="CU89" i="72" s="1"/>
  <c r="CW87" i="72"/>
  <c r="CG79" i="72"/>
  <c r="CE80" i="72"/>
  <c r="CG80" i="72" s="1"/>
  <c r="CE81" i="72" s="1"/>
  <c r="I73" i="72"/>
  <c r="G74" i="72"/>
  <c r="I74" i="72" s="1"/>
  <c r="G75" i="72" s="1"/>
  <c r="CM88" i="72"/>
  <c r="CO88" i="72" s="1"/>
  <c r="CM89" i="72" s="1"/>
  <c r="CO87" i="72"/>
  <c r="CC79" i="72"/>
  <c r="CA80" i="72"/>
  <c r="CC80" i="72" s="1"/>
  <c r="CA81" i="72" s="1"/>
  <c r="FP73" i="72"/>
  <c r="AC75" i="72"/>
  <c r="AA76" i="72"/>
  <c r="AC76" i="72" s="1"/>
  <c r="AA77" i="72" s="1"/>
  <c r="AS75" i="72"/>
  <c r="AQ76" i="72"/>
  <c r="AS76" i="72" s="1"/>
  <c r="AQ77" i="72" s="1"/>
  <c r="BO62" i="72"/>
  <c r="BQ62" i="72" s="1"/>
  <c r="BQ61" i="72"/>
  <c r="BR61" i="72" s="1"/>
  <c r="GB73" i="72"/>
  <c r="CS85" i="72"/>
  <c r="CQ86" i="72"/>
  <c r="CS86" i="72" s="1"/>
  <c r="CQ87" i="72" s="1"/>
  <c r="GN78" i="72"/>
  <c r="GP78" i="72" s="1"/>
  <c r="GP77" i="72"/>
  <c r="AM78" i="72"/>
  <c r="AO78" i="72" s="1"/>
  <c r="AM79" i="72" s="1"/>
  <c r="AO77" i="72"/>
  <c r="Y73" i="72"/>
  <c r="W74" i="72"/>
  <c r="Y74" i="72" s="1"/>
  <c r="W75" i="72" s="1"/>
  <c r="K72" i="72"/>
  <c r="M72" i="72" s="1"/>
  <c r="K73" i="72" s="1"/>
  <c r="M71" i="72"/>
  <c r="BI57" i="72"/>
  <c r="BJ57" i="72" s="1"/>
  <c r="BG58" i="72"/>
  <c r="BI58" i="72" s="1"/>
  <c r="BW80" i="72"/>
  <c r="BY80" i="72" s="1"/>
  <c r="BW81" i="72" s="1"/>
  <c r="BY79" i="72"/>
  <c r="GJ74" i="72"/>
  <c r="GL74" i="72" s="1"/>
  <c r="GL73" i="72"/>
  <c r="FN71" i="72"/>
  <c r="FL72" i="72"/>
  <c r="FN72" i="72" s="1"/>
  <c r="AU57" i="72"/>
  <c r="AX56" i="72"/>
  <c r="FJ71" i="72"/>
  <c r="FH72" i="72"/>
  <c r="FJ72" i="72" s="1"/>
  <c r="R80" i="92" l="1"/>
  <c r="R81" i="92" s="1"/>
  <c r="R82" i="92" s="1"/>
  <c r="R83" i="92" s="1"/>
  <c r="R84" i="92" s="1"/>
  <c r="R85" i="92" s="1"/>
  <c r="R86" i="92" s="1"/>
  <c r="R87" i="92" s="1"/>
  <c r="R88" i="92" s="1"/>
  <c r="R89" i="92" s="1"/>
  <c r="R90" i="92" s="1"/>
  <c r="V53" i="55"/>
  <c r="S54" i="55"/>
  <c r="Z55" i="55"/>
  <c r="W56" i="55"/>
  <c r="AL59" i="55"/>
  <c r="AI60" i="55"/>
  <c r="G54" i="55"/>
  <c r="J53" i="55"/>
  <c r="K55" i="55"/>
  <c r="M55" i="55" s="1"/>
  <c r="M54" i="55"/>
  <c r="N54" i="55" s="1"/>
  <c r="EA127" i="72"/>
  <c r="DY123" i="72"/>
  <c r="DW124" i="72"/>
  <c r="DY124" i="72" s="1"/>
  <c r="DU125" i="72"/>
  <c r="DS126" i="72"/>
  <c r="DU126" i="72" s="1"/>
  <c r="BK61" i="72"/>
  <c r="BN60" i="72"/>
  <c r="BC59" i="72"/>
  <c r="BF58" i="72"/>
  <c r="AG60" i="55"/>
  <c r="AH60" i="55" s="1"/>
  <c r="AE61" i="55"/>
  <c r="AG61" i="55" s="1"/>
  <c r="O53" i="55"/>
  <c r="Q53" i="55" s="1"/>
  <c r="Q52" i="55"/>
  <c r="R52" i="55" s="1"/>
  <c r="C51" i="55"/>
  <c r="E51" i="55" s="1"/>
  <c r="E50" i="55"/>
  <c r="F50" i="55" s="1"/>
  <c r="AM50" i="55" s="1"/>
  <c r="AO50" i="55" s="1"/>
  <c r="AC56" i="55"/>
  <c r="AD56" i="55" s="1"/>
  <c r="AA57" i="55"/>
  <c r="AC57" i="55" s="1"/>
  <c r="DK103" i="72"/>
  <c r="DG101" i="72"/>
  <c r="DC99" i="72"/>
  <c r="CY99" i="72"/>
  <c r="BG59" i="72"/>
  <c r="BJ58" i="72"/>
  <c r="W76" i="72"/>
  <c r="Y76" i="72" s="1"/>
  <c r="W77" i="72" s="1"/>
  <c r="Y75" i="72"/>
  <c r="AQ78" i="72"/>
  <c r="AS78" i="72" s="1"/>
  <c r="AQ79" i="72" s="1"/>
  <c r="AS77" i="72"/>
  <c r="CE82" i="72"/>
  <c r="CG82" i="72" s="1"/>
  <c r="CE83" i="72" s="1"/>
  <c r="CG81" i="72"/>
  <c r="BU79" i="72"/>
  <c r="BS80" i="72"/>
  <c r="BU80" i="72" s="1"/>
  <c r="BS81" i="72" s="1"/>
  <c r="E75" i="72"/>
  <c r="C76" i="72"/>
  <c r="E76" i="72" s="1"/>
  <c r="C77" i="72" s="1"/>
  <c r="AU58" i="72"/>
  <c r="AW58" i="72" s="1"/>
  <c r="AW57" i="72"/>
  <c r="AX57" i="72" s="1"/>
  <c r="GJ75" i="72"/>
  <c r="GB74" i="72"/>
  <c r="GD74" i="72" s="1"/>
  <c r="GD73" i="72"/>
  <c r="FR73" i="72"/>
  <c r="FP74" i="72"/>
  <c r="FR74" i="72" s="1"/>
  <c r="CM90" i="72"/>
  <c r="CO90" i="72" s="1"/>
  <c r="CM91" i="72" s="1"/>
  <c r="CO89" i="72"/>
  <c r="AE76" i="72"/>
  <c r="AG76" i="72" s="1"/>
  <c r="AE77" i="72" s="1"/>
  <c r="AG75" i="72"/>
  <c r="GF78" i="72"/>
  <c r="GH78" i="72" s="1"/>
  <c r="GH77" i="72"/>
  <c r="Q77" i="72"/>
  <c r="O78" i="72"/>
  <c r="Q78" i="72" s="1"/>
  <c r="O79" i="72" s="1"/>
  <c r="FH73" i="72"/>
  <c r="FL73" i="72"/>
  <c r="CS87" i="72"/>
  <c r="CQ88" i="72"/>
  <c r="CS88" i="72" s="1"/>
  <c r="CQ89" i="72" s="1"/>
  <c r="AA78" i="72"/>
  <c r="AC78" i="72" s="1"/>
  <c r="AA79" i="72" s="1"/>
  <c r="AC77" i="72"/>
  <c r="CC81" i="72"/>
  <c r="CA82" i="72"/>
  <c r="CC82" i="72" s="1"/>
  <c r="CA83" i="72" s="1"/>
  <c r="G76" i="72"/>
  <c r="I76" i="72" s="1"/>
  <c r="G77" i="72" s="1"/>
  <c r="I75" i="72"/>
  <c r="S72" i="72"/>
  <c r="U72" i="72" s="1"/>
  <c r="S73" i="72" s="1"/>
  <c r="U71" i="72"/>
  <c r="CI84" i="72"/>
  <c r="CK84" i="72" s="1"/>
  <c r="CI85" i="72" s="1"/>
  <c r="CK83" i="72"/>
  <c r="BY81" i="72"/>
  <c r="BW82" i="72"/>
  <c r="BY82" i="72" s="1"/>
  <c r="BW83" i="72" s="1"/>
  <c r="K74" i="72"/>
  <c r="M74" i="72" s="1"/>
  <c r="K75" i="72" s="1"/>
  <c r="M73" i="72"/>
  <c r="AO79" i="72"/>
  <c r="AM80" i="72"/>
  <c r="AO80" i="72" s="1"/>
  <c r="AM81" i="72" s="1"/>
  <c r="BO63" i="72"/>
  <c r="BR62" i="72"/>
  <c r="CU90" i="72"/>
  <c r="CW90" i="72" s="1"/>
  <c r="CU91" i="72" s="1"/>
  <c r="CW89" i="72"/>
  <c r="AI80" i="72"/>
  <c r="AK80" i="72" s="1"/>
  <c r="AI81" i="72" s="1"/>
  <c r="AK79" i="72"/>
  <c r="AY58" i="72"/>
  <c r="BA58" i="72" s="1"/>
  <c r="BA57" i="72"/>
  <c r="BB57" i="72" s="1"/>
  <c r="FT74" i="72"/>
  <c r="FV74" i="72" s="1"/>
  <c r="FV73" i="72"/>
  <c r="FF71" i="72"/>
  <c r="FD72" i="72"/>
  <c r="FF72" i="72" s="1"/>
  <c r="FX78" i="72"/>
  <c r="FZ78" i="72" s="1"/>
  <c r="FZ77" i="72"/>
  <c r="R91" i="92" l="1"/>
  <c r="U54" i="55"/>
  <c r="V54" i="55" s="1"/>
  <c r="S55" i="55"/>
  <c r="U55" i="55" s="1"/>
  <c r="AK60" i="55"/>
  <c r="AL60" i="55" s="1"/>
  <c r="AI61" i="55"/>
  <c r="AK61" i="55" s="1"/>
  <c r="K56" i="55"/>
  <c r="N55" i="55"/>
  <c r="W57" i="55"/>
  <c r="Y57" i="55" s="1"/>
  <c r="Y56" i="55"/>
  <c r="Z56" i="55" s="1"/>
  <c r="I54" i="55"/>
  <c r="J54" i="55" s="1"/>
  <c r="G55" i="55"/>
  <c r="I55" i="55" s="1"/>
  <c r="EA128" i="72"/>
  <c r="EC128" i="72" s="1"/>
  <c r="EC127" i="72"/>
  <c r="DW125" i="72"/>
  <c r="DS127" i="72"/>
  <c r="BK62" i="72"/>
  <c r="BM62" i="72" s="1"/>
  <c r="BM61" i="72"/>
  <c r="BN61" i="72" s="1"/>
  <c r="BC60" i="72"/>
  <c r="BE60" i="72" s="1"/>
  <c r="BE59" i="72"/>
  <c r="BF59" i="72" s="1"/>
  <c r="AA58" i="55"/>
  <c r="AD57" i="55"/>
  <c r="C52" i="55"/>
  <c r="F51" i="55"/>
  <c r="AM51" i="55" s="1"/>
  <c r="AN51" i="55" s="1"/>
  <c r="O54" i="55"/>
  <c r="R53" i="55"/>
  <c r="AE62" i="55"/>
  <c r="AH61" i="55"/>
  <c r="F41" i="64"/>
  <c r="A39" i="64"/>
  <c r="DM103" i="72"/>
  <c r="DK104" i="72"/>
  <c r="DM104" i="72" s="1"/>
  <c r="DI101" i="72"/>
  <c r="DG102" i="72"/>
  <c r="DI102" i="72" s="1"/>
  <c r="DE99" i="72"/>
  <c r="DC100" i="72"/>
  <c r="DE100" i="72" s="1"/>
  <c r="DA99" i="72"/>
  <c r="CY100" i="72"/>
  <c r="DA100" i="72" s="1"/>
  <c r="O80" i="72"/>
  <c r="Q80" i="72" s="1"/>
  <c r="O81" i="72" s="1"/>
  <c r="Q79" i="72"/>
  <c r="FT75" i="72"/>
  <c r="AI82" i="72"/>
  <c r="AK82" i="72" s="1"/>
  <c r="AI83" i="72" s="1"/>
  <c r="AK81" i="72"/>
  <c r="BQ63" i="72"/>
  <c r="BR63" i="72" s="1"/>
  <c r="BO64" i="72"/>
  <c r="BQ64" i="72" s="1"/>
  <c r="K76" i="72"/>
  <c r="M76" i="72" s="1"/>
  <c r="K77" i="72" s="1"/>
  <c r="M75" i="72"/>
  <c r="CK85" i="72"/>
  <c r="CI86" i="72"/>
  <c r="CK86" i="72" s="1"/>
  <c r="CI87" i="72" s="1"/>
  <c r="I77" i="72"/>
  <c r="G78" i="72"/>
  <c r="AC79" i="72"/>
  <c r="AA80" i="72"/>
  <c r="AC80" i="72" s="1"/>
  <c r="AA81" i="72" s="1"/>
  <c r="FL74" i="72"/>
  <c r="FN74" i="72" s="1"/>
  <c r="FN73" i="72"/>
  <c r="CM92" i="72"/>
  <c r="CO92" i="72" s="1"/>
  <c r="CM93" i="72" s="1"/>
  <c r="CO91" i="72"/>
  <c r="GB75" i="72"/>
  <c r="AX58" i="72"/>
  <c r="AU59" i="72"/>
  <c r="CE84" i="72"/>
  <c r="CG84" i="72" s="1"/>
  <c r="CE85" i="72" s="1"/>
  <c r="CG83" i="72"/>
  <c r="W78" i="72"/>
  <c r="Y78" i="72" s="1"/>
  <c r="W79" i="72" s="1"/>
  <c r="Y77" i="72"/>
  <c r="FD73" i="72"/>
  <c r="AO81" i="72"/>
  <c r="AM82" i="72"/>
  <c r="AO82" i="72" s="1"/>
  <c r="AM83" i="72" s="1"/>
  <c r="BW84" i="72"/>
  <c r="BY84" i="72" s="1"/>
  <c r="BW85" i="72" s="1"/>
  <c r="BY83" i="72"/>
  <c r="CC83" i="72"/>
  <c r="CA84" i="72"/>
  <c r="CC84" i="72" s="1"/>
  <c r="CA85" i="72" s="1"/>
  <c r="CS89" i="72"/>
  <c r="CQ90" i="72"/>
  <c r="CS90" i="72" s="1"/>
  <c r="CQ91" i="72" s="1"/>
  <c r="FP75" i="72"/>
  <c r="C78" i="72"/>
  <c r="E78" i="72" s="1"/>
  <c r="C79" i="72" s="1"/>
  <c r="E77" i="72"/>
  <c r="BU81" i="72"/>
  <c r="BS82" i="72"/>
  <c r="BU82" i="72" s="1"/>
  <c r="BS83" i="72" s="1"/>
  <c r="BB58" i="72"/>
  <c r="AY59" i="72"/>
  <c r="CW91" i="72"/>
  <c r="CU92" i="72"/>
  <c r="CW92" i="72" s="1"/>
  <c r="CU93" i="72" s="1"/>
  <c r="U73" i="72"/>
  <c r="S74" i="72"/>
  <c r="U74" i="72" s="1"/>
  <c r="S75" i="72" s="1"/>
  <c r="FJ73" i="72"/>
  <c r="FH74" i="72"/>
  <c r="FJ74" i="72" s="1"/>
  <c r="AG77" i="72"/>
  <c r="AE78" i="72"/>
  <c r="AG78" i="72" s="1"/>
  <c r="AE79" i="72" s="1"/>
  <c r="GJ76" i="72"/>
  <c r="GL76" i="72" s="1"/>
  <c r="GL75" i="72"/>
  <c r="AQ80" i="72"/>
  <c r="AS80" i="72" s="1"/>
  <c r="AQ81" i="72" s="1"/>
  <c r="AS79" i="72"/>
  <c r="BI59" i="72"/>
  <c r="BJ59" i="72" s="1"/>
  <c r="BG60" i="72"/>
  <c r="BI60" i="72" s="1"/>
  <c r="R103" i="92" l="1"/>
  <c r="R104" i="92" s="1"/>
  <c r="H80" i="48" s="1"/>
  <c r="I78" i="72"/>
  <c r="G79" i="72" s="1"/>
  <c r="I79" i="72" s="1"/>
  <c r="S56" i="55"/>
  <c r="V55" i="55"/>
  <c r="G56" i="55"/>
  <c r="J55" i="55"/>
  <c r="K57" i="55"/>
  <c r="M57" i="55" s="1"/>
  <c r="M56" i="55"/>
  <c r="N56" i="55" s="1"/>
  <c r="AI62" i="55"/>
  <c r="AL61" i="55"/>
  <c r="W58" i="55"/>
  <c r="Z57" i="55"/>
  <c r="EA129" i="72"/>
  <c r="DY125" i="72"/>
  <c r="DW126" i="72"/>
  <c r="DY126" i="72" s="1"/>
  <c r="DU127" i="72"/>
  <c r="DS128" i="72"/>
  <c r="DU128" i="72" s="1"/>
  <c r="BN62" i="72"/>
  <c r="BK63" i="72"/>
  <c r="BF60" i="72"/>
  <c r="BC61" i="72"/>
  <c r="AG62" i="55"/>
  <c r="AH62" i="55" s="1"/>
  <c r="AE63" i="55"/>
  <c r="AG63" i="55" s="1"/>
  <c r="Q54" i="55"/>
  <c r="R54" i="55" s="1"/>
  <c r="O55" i="55"/>
  <c r="Q55" i="55" s="1"/>
  <c r="E52" i="55"/>
  <c r="F52" i="55" s="1"/>
  <c r="AM52" i="55" s="1"/>
  <c r="AO52" i="55" s="1"/>
  <c r="C53" i="55"/>
  <c r="E53" i="55" s="1"/>
  <c r="AC58" i="55"/>
  <c r="AD58" i="55" s="1"/>
  <c r="AA59" i="55"/>
  <c r="AC59" i="55" s="1"/>
  <c r="F17" i="64"/>
  <c r="A40" i="64"/>
  <c r="DK105" i="72"/>
  <c r="DG103" i="72"/>
  <c r="DC101" i="72"/>
  <c r="CY101" i="72"/>
  <c r="BG61" i="72"/>
  <c r="BJ60" i="72"/>
  <c r="FH75" i="72"/>
  <c r="CU94" i="72"/>
  <c r="CW94" i="72" s="1"/>
  <c r="CU95" i="72" s="1"/>
  <c r="CW93" i="72"/>
  <c r="BU83" i="72"/>
  <c r="BS84" i="72"/>
  <c r="BU84" i="72" s="1"/>
  <c r="BS85" i="72" s="1"/>
  <c r="CA86" i="72"/>
  <c r="CC86" i="72" s="1"/>
  <c r="CA87" i="72" s="1"/>
  <c r="CC85" i="72"/>
  <c r="AO83" i="72"/>
  <c r="AM84" i="72"/>
  <c r="AO84" i="72" s="1"/>
  <c r="AM85" i="72" s="1"/>
  <c r="AA82" i="72"/>
  <c r="AC82" i="72" s="1"/>
  <c r="AA83" i="72" s="1"/>
  <c r="AC81" i="72"/>
  <c r="CK87" i="72"/>
  <c r="CI88" i="72"/>
  <c r="CK88" i="72" s="1"/>
  <c r="CI89" i="72" s="1"/>
  <c r="BO65" i="72"/>
  <c r="BR64" i="72"/>
  <c r="GJ77" i="72"/>
  <c r="FP76" i="72"/>
  <c r="FR76" i="72" s="1"/>
  <c r="FR75" i="72"/>
  <c r="Y79" i="72"/>
  <c r="W80" i="72"/>
  <c r="Y80" i="72" s="1"/>
  <c r="W81" i="72" s="1"/>
  <c r="GD75" i="72"/>
  <c r="GB76" i="72"/>
  <c r="GD76" i="72" s="1"/>
  <c r="FT76" i="72"/>
  <c r="FV76" i="72" s="1"/>
  <c r="FV75" i="72"/>
  <c r="AE80" i="72"/>
  <c r="AG80" i="72" s="1"/>
  <c r="AE81" i="72" s="1"/>
  <c r="AG79" i="72"/>
  <c r="S76" i="72"/>
  <c r="U76" i="72" s="1"/>
  <c r="S77" i="72" s="1"/>
  <c r="U75" i="72"/>
  <c r="AY60" i="72"/>
  <c r="BA60" i="72" s="1"/>
  <c r="BA59" i="72"/>
  <c r="BB59" i="72" s="1"/>
  <c r="CS91" i="72"/>
  <c r="CQ92" i="72"/>
  <c r="CS92" i="72" s="1"/>
  <c r="CQ93" i="72" s="1"/>
  <c r="AU60" i="72"/>
  <c r="AW60" i="72" s="1"/>
  <c r="AW59" i="72"/>
  <c r="AX59" i="72" s="1"/>
  <c r="AQ82" i="72"/>
  <c r="AS82" i="72" s="1"/>
  <c r="AQ83" i="72" s="1"/>
  <c r="AS81" i="72"/>
  <c r="E79" i="72"/>
  <c r="C80" i="72"/>
  <c r="E80" i="72" s="1"/>
  <c r="C81" i="72" s="1"/>
  <c r="BY85" i="72"/>
  <c r="BW86" i="72"/>
  <c r="BY86" i="72" s="1"/>
  <c r="BW87" i="72" s="1"/>
  <c r="FF73" i="72"/>
  <c r="FD74" i="72"/>
  <c r="FF74" i="72" s="1"/>
  <c r="CE86" i="72"/>
  <c r="CG86" i="72" s="1"/>
  <c r="CE87" i="72" s="1"/>
  <c r="CG85" i="72"/>
  <c r="CO93" i="72"/>
  <c r="CM94" i="72"/>
  <c r="CO94" i="72" s="1"/>
  <c r="CM95" i="72" s="1"/>
  <c r="FL75" i="72"/>
  <c r="M77" i="72"/>
  <c r="K78" i="72"/>
  <c r="M78" i="72" s="1"/>
  <c r="K79" i="72" s="1"/>
  <c r="AI84" i="72"/>
  <c r="AK84" i="72" s="1"/>
  <c r="AI85" i="72" s="1"/>
  <c r="AK83" i="72"/>
  <c r="Q81" i="72"/>
  <c r="O82" i="72"/>
  <c r="Q82" i="72" s="1"/>
  <c r="O83" i="72" s="1"/>
  <c r="S57" i="55" l="1"/>
  <c r="U57" i="55" s="1"/>
  <c r="U56" i="55"/>
  <c r="V56" i="55" s="1"/>
  <c r="G80" i="72"/>
  <c r="I80" i="72" s="1"/>
  <c r="G81" i="72" s="1"/>
  <c r="Y58" i="55"/>
  <c r="Z58" i="55" s="1"/>
  <c r="W59" i="55"/>
  <c r="Y59" i="55" s="1"/>
  <c r="N57" i="55"/>
  <c r="K58" i="55"/>
  <c r="AK62" i="55"/>
  <c r="AL62" i="55" s="1"/>
  <c r="AI63" i="55"/>
  <c r="AK63" i="55" s="1"/>
  <c r="G57" i="55"/>
  <c r="I57" i="55" s="1"/>
  <c r="I56" i="55"/>
  <c r="J56" i="55" s="1"/>
  <c r="EA130" i="72"/>
  <c r="EC130" i="72" s="1"/>
  <c r="EC129" i="72"/>
  <c r="DW127" i="72"/>
  <c r="DS129" i="72"/>
  <c r="BM63" i="72"/>
  <c r="BN63" i="72" s="1"/>
  <c r="BK64" i="72"/>
  <c r="BM64" i="72" s="1"/>
  <c r="BC62" i="72"/>
  <c r="BE62" i="72" s="1"/>
  <c r="BE61" i="72"/>
  <c r="BF61" i="72" s="1"/>
  <c r="AA60" i="55"/>
  <c r="AD59" i="55"/>
  <c r="O56" i="55"/>
  <c r="R55" i="55"/>
  <c r="C54" i="55"/>
  <c r="F53" i="55"/>
  <c r="AM53" i="55" s="1"/>
  <c r="AN53" i="55" s="1"/>
  <c r="AE64" i="55"/>
  <c r="AH63" i="55"/>
  <c r="A17" i="65"/>
  <c r="A59" i="65"/>
  <c r="F8" i="65"/>
  <c r="A41" i="64"/>
  <c r="F43" i="64"/>
  <c r="DM105" i="72"/>
  <c r="DK106" i="72"/>
  <c r="DM106" i="72" s="1"/>
  <c r="DI103" i="72"/>
  <c r="DG104" i="72"/>
  <c r="DI104" i="72" s="1"/>
  <c r="DE101" i="72"/>
  <c r="DC102" i="72"/>
  <c r="DE102" i="72" s="1"/>
  <c r="DA101" i="72"/>
  <c r="CY102" i="72"/>
  <c r="DA102" i="72" s="1"/>
  <c r="O84" i="72"/>
  <c r="Q84" i="72" s="1"/>
  <c r="O85" i="72" s="1"/>
  <c r="Q83" i="72"/>
  <c r="K80" i="72"/>
  <c r="M80" i="72" s="1"/>
  <c r="K81" i="72" s="1"/>
  <c r="M79" i="72"/>
  <c r="CM96" i="72"/>
  <c r="CO96" i="72" s="1"/>
  <c r="CM97" i="72" s="1"/>
  <c r="CO95" i="72"/>
  <c r="FD75" i="72"/>
  <c r="C82" i="72"/>
  <c r="E82" i="72" s="1"/>
  <c r="C83" i="72" s="1"/>
  <c r="E81" i="72"/>
  <c r="I81" i="72"/>
  <c r="G82" i="72"/>
  <c r="I82" i="72" s="1"/>
  <c r="G83" i="72" s="1"/>
  <c r="CS93" i="72"/>
  <c r="CQ94" i="72"/>
  <c r="CS94" i="72" s="1"/>
  <c r="CQ95" i="72" s="1"/>
  <c r="W82" i="72"/>
  <c r="Y82" i="72" s="1"/>
  <c r="W83" i="72" s="1"/>
  <c r="Y81" i="72"/>
  <c r="CK89" i="72"/>
  <c r="CI90" i="72"/>
  <c r="CK90" i="72" s="1"/>
  <c r="CI91" i="72" s="1"/>
  <c r="AM86" i="72"/>
  <c r="AO86" i="72" s="1"/>
  <c r="AM87" i="72" s="1"/>
  <c r="AO85" i="72"/>
  <c r="BU85" i="72"/>
  <c r="BS86" i="72"/>
  <c r="BU86" i="72" s="1"/>
  <c r="BS87" i="72" s="1"/>
  <c r="U77" i="72"/>
  <c r="S78" i="72"/>
  <c r="U78" i="72" s="1"/>
  <c r="S79" i="72" s="1"/>
  <c r="FT77" i="72"/>
  <c r="GL77" i="72"/>
  <c r="GJ78" i="72"/>
  <c r="GL78" i="72" s="1"/>
  <c r="FJ75" i="72"/>
  <c r="FH76" i="72"/>
  <c r="FJ76" i="72" s="1"/>
  <c r="BW88" i="72"/>
  <c r="BY88" i="72" s="1"/>
  <c r="BW89" i="72" s="1"/>
  <c r="BY87" i="72"/>
  <c r="GB77" i="72"/>
  <c r="AK85" i="72"/>
  <c r="AI86" i="72"/>
  <c r="AK86" i="72" s="1"/>
  <c r="AI87" i="72" s="1"/>
  <c r="FN75" i="72"/>
  <c r="FL76" i="72"/>
  <c r="FN76" i="72" s="1"/>
  <c r="CE88" i="72"/>
  <c r="CG88" i="72" s="1"/>
  <c r="CE89" i="72" s="1"/>
  <c r="CG87" i="72"/>
  <c r="AS83" i="72"/>
  <c r="AQ84" i="72"/>
  <c r="AS84" i="72" s="1"/>
  <c r="AQ85" i="72" s="1"/>
  <c r="AX60" i="72"/>
  <c r="AU61" i="72"/>
  <c r="BB60" i="72"/>
  <c r="AY61" i="72"/>
  <c r="AG81" i="72"/>
  <c r="AE82" i="72"/>
  <c r="AG82" i="72" s="1"/>
  <c r="AE83" i="72" s="1"/>
  <c r="BO66" i="72"/>
  <c r="BQ66" i="72" s="1"/>
  <c r="BQ65" i="72"/>
  <c r="BR65" i="72" s="1"/>
  <c r="AA84" i="72"/>
  <c r="AC84" i="72" s="1"/>
  <c r="AA85" i="72" s="1"/>
  <c r="AC83" i="72"/>
  <c r="CC87" i="72"/>
  <c r="CA88" i="72"/>
  <c r="CC88" i="72" s="1"/>
  <c r="CA89" i="72" s="1"/>
  <c r="CW95" i="72"/>
  <c r="CU96" i="72"/>
  <c r="CW96" i="72" s="1"/>
  <c r="CU97" i="72" s="1"/>
  <c r="BG62" i="72"/>
  <c r="BI62" i="72" s="1"/>
  <c r="BI61" i="72"/>
  <c r="BJ61" i="72" s="1"/>
  <c r="S58" i="55" l="1"/>
  <c r="V57" i="55"/>
  <c r="G58" i="55"/>
  <c r="J57" i="55"/>
  <c r="AI64" i="55"/>
  <c r="AL63" i="55"/>
  <c r="W60" i="55"/>
  <c r="Z59" i="55"/>
  <c r="K59" i="55"/>
  <c r="M59" i="55" s="1"/>
  <c r="M58" i="55"/>
  <c r="N58" i="55" s="1"/>
  <c r="EA131" i="72"/>
  <c r="DY127" i="72"/>
  <c r="DW128" i="72"/>
  <c r="DY128" i="72" s="1"/>
  <c r="DU129" i="72"/>
  <c r="DS130" i="72"/>
  <c r="DU130" i="72" s="1"/>
  <c r="BN64" i="72"/>
  <c r="BK65" i="72"/>
  <c r="BC63" i="72"/>
  <c r="BF62" i="72"/>
  <c r="AE65" i="55"/>
  <c r="AG65" i="55" s="1"/>
  <c r="AG64" i="55"/>
  <c r="AH64" i="55" s="1"/>
  <c r="E54" i="55"/>
  <c r="F54" i="55" s="1"/>
  <c r="AM54" i="55" s="1"/>
  <c r="AO54" i="55" s="1"/>
  <c r="C55" i="55"/>
  <c r="E55" i="55" s="1"/>
  <c r="Q56" i="55"/>
  <c r="R56" i="55" s="1"/>
  <c r="O57" i="55"/>
  <c r="Q57" i="55" s="1"/>
  <c r="AA61" i="55"/>
  <c r="AC61" i="55" s="1"/>
  <c r="AC60" i="55"/>
  <c r="AD60" i="55" s="1"/>
  <c r="A42" i="64"/>
  <c r="DK107" i="72"/>
  <c r="DG105" i="72"/>
  <c r="DC103" i="72"/>
  <c r="CY103" i="72"/>
  <c r="CU98" i="72"/>
  <c r="CW98" i="72" s="1"/>
  <c r="CU99" i="72" s="1"/>
  <c r="CW97" i="72"/>
  <c r="AY62" i="72"/>
  <c r="BA62" i="72" s="1"/>
  <c r="BA61" i="72"/>
  <c r="BB61" i="72" s="1"/>
  <c r="AQ86" i="72"/>
  <c r="AS86" i="72" s="1"/>
  <c r="AQ87" i="72" s="1"/>
  <c r="AS85" i="72"/>
  <c r="S80" i="72"/>
  <c r="U80" i="72" s="1"/>
  <c r="S81" i="72" s="1"/>
  <c r="U79" i="72"/>
  <c r="I83" i="72"/>
  <c r="G84" i="72"/>
  <c r="I84" i="72" s="1"/>
  <c r="G85" i="72" s="1"/>
  <c r="BR66" i="72"/>
  <c r="BO67" i="72"/>
  <c r="GD77" i="72"/>
  <c r="GB78" i="72"/>
  <c r="GD78" i="72" s="1"/>
  <c r="AO87" i="72"/>
  <c r="AM88" i="72"/>
  <c r="AO88" i="72" s="1"/>
  <c r="AM89" i="72" s="1"/>
  <c r="Y83" i="72"/>
  <c r="W84" i="72"/>
  <c r="Y84" i="72" s="1"/>
  <c r="W85" i="72" s="1"/>
  <c r="FD76" i="72"/>
  <c r="FF76" i="72" s="1"/>
  <c r="FF75" i="72"/>
  <c r="M81" i="72"/>
  <c r="K82" i="72"/>
  <c r="M82" i="72" s="1"/>
  <c r="K83" i="72" s="1"/>
  <c r="CA90" i="72"/>
  <c r="CC90" i="72" s="1"/>
  <c r="CA91" i="72" s="1"/>
  <c r="CC89" i="72"/>
  <c r="AE84" i="72"/>
  <c r="AG84" i="72" s="1"/>
  <c r="AE85" i="72" s="1"/>
  <c r="AG83" i="72"/>
  <c r="AU62" i="72"/>
  <c r="AW62" i="72" s="1"/>
  <c r="AW61" i="72"/>
  <c r="AX61" i="72" s="1"/>
  <c r="AI88" i="72"/>
  <c r="AK88" i="72" s="1"/>
  <c r="AI89" i="72" s="1"/>
  <c r="AK87" i="72"/>
  <c r="BS88" i="72"/>
  <c r="BU88" i="72" s="1"/>
  <c r="BS89" i="72" s="1"/>
  <c r="BU87" i="72"/>
  <c r="CK91" i="72"/>
  <c r="CI92" i="72"/>
  <c r="CK92" i="72" s="1"/>
  <c r="CI93" i="72" s="1"/>
  <c r="CS95" i="72"/>
  <c r="CQ96" i="72"/>
  <c r="CS96" i="72" s="1"/>
  <c r="CQ97" i="72" s="1"/>
  <c r="BG63" i="72"/>
  <c r="BJ62" i="72"/>
  <c r="AA86" i="72"/>
  <c r="AC86" i="72" s="1"/>
  <c r="AA87" i="72" s="1"/>
  <c r="AC85" i="72"/>
  <c r="CE90" i="72"/>
  <c r="CG90" i="72" s="1"/>
  <c r="CE91" i="72" s="1"/>
  <c r="CG89" i="72"/>
  <c r="BY89" i="72"/>
  <c r="BW90" i="72"/>
  <c r="BY90" i="72" s="1"/>
  <c r="BW91" i="72" s="1"/>
  <c r="FV77" i="72"/>
  <c r="FT78" i="72"/>
  <c r="FV78" i="72" s="1"/>
  <c r="E83" i="72"/>
  <c r="C84" i="72"/>
  <c r="E84" i="72" s="1"/>
  <c r="C85" i="72" s="1"/>
  <c r="CM98" i="72"/>
  <c r="CO98" i="72" s="1"/>
  <c r="CM99" i="72" s="1"/>
  <c r="CO97" i="72"/>
  <c r="O86" i="72"/>
  <c r="Q86" i="72" s="1"/>
  <c r="O87" i="72" s="1"/>
  <c r="Q85" i="72"/>
  <c r="U58" i="55" l="1"/>
  <c r="V58" i="55" s="1"/>
  <c r="S59" i="55"/>
  <c r="U59" i="55" s="1"/>
  <c r="K60" i="55"/>
  <c r="N59" i="55"/>
  <c r="AI65" i="55"/>
  <c r="AK65" i="55" s="1"/>
  <c r="AK64" i="55"/>
  <c r="AL64" i="55" s="1"/>
  <c r="Y60" i="55"/>
  <c r="Z60" i="55" s="1"/>
  <c r="W61" i="55"/>
  <c r="Y61" i="55" s="1"/>
  <c r="I58" i="55"/>
  <c r="J58" i="55" s="1"/>
  <c r="G59" i="55"/>
  <c r="I59" i="55" s="1"/>
  <c r="EA132" i="72"/>
  <c r="EC132" i="72" s="1"/>
  <c r="EC131" i="72"/>
  <c r="DW129" i="72"/>
  <c r="DS131" i="72"/>
  <c r="BM65" i="72"/>
  <c r="BN65" i="72" s="1"/>
  <c r="BK66" i="72"/>
  <c r="BM66" i="72" s="1"/>
  <c r="BC64" i="72"/>
  <c r="BE64" i="72" s="1"/>
  <c r="BE63" i="72"/>
  <c r="BF63" i="72" s="1"/>
  <c r="AA62" i="55"/>
  <c r="AD61" i="55"/>
  <c r="O58" i="55"/>
  <c r="R57" i="55"/>
  <c r="C56" i="55"/>
  <c r="F55" i="55"/>
  <c r="AM55" i="55" s="1"/>
  <c r="AN55" i="55" s="1"/>
  <c r="AE66" i="55"/>
  <c r="AH65" i="55"/>
  <c r="A43" i="64"/>
  <c r="F47" i="64"/>
  <c r="DM107" i="72"/>
  <c r="DK108" i="72"/>
  <c r="DM108" i="72" s="1"/>
  <c r="DI105" i="72"/>
  <c r="DG106" i="72"/>
  <c r="DI106" i="72" s="1"/>
  <c r="DE103" i="72"/>
  <c r="DC104" i="72"/>
  <c r="DE104" i="72" s="1"/>
  <c r="DA103" i="72"/>
  <c r="CY104" i="72"/>
  <c r="DA104" i="72" s="1"/>
  <c r="CK93" i="72"/>
  <c r="CI94" i="72"/>
  <c r="CK94" i="72" s="1"/>
  <c r="CI95" i="72" s="1"/>
  <c r="AO89" i="72"/>
  <c r="AM90" i="72"/>
  <c r="AO90" i="72" s="1"/>
  <c r="AM91" i="72" s="1"/>
  <c r="BQ67" i="72"/>
  <c r="BR67" i="72" s="1"/>
  <c r="BO68" i="72"/>
  <c r="BQ68" i="72" s="1"/>
  <c r="I85" i="72"/>
  <c r="G86" i="72"/>
  <c r="I86" i="72" s="1"/>
  <c r="G87" i="72" s="1"/>
  <c r="CM100" i="72"/>
  <c r="CO100" i="72" s="1"/>
  <c r="CM101" i="72" s="1"/>
  <c r="CO99" i="72"/>
  <c r="CE92" i="72"/>
  <c r="CG92" i="72" s="1"/>
  <c r="CE93" i="72" s="1"/>
  <c r="CG91" i="72"/>
  <c r="BG64" i="72"/>
  <c r="BI64" i="72" s="1"/>
  <c r="BI63" i="72"/>
  <c r="BJ63" i="72" s="1"/>
  <c r="AX62" i="72"/>
  <c r="AU63" i="72"/>
  <c r="CC91" i="72"/>
  <c r="CA92" i="72"/>
  <c r="CC92" i="72" s="1"/>
  <c r="CA93" i="72" s="1"/>
  <c r="AS87" i="72"/>
  <c r="AQ88" i="72"/>
  <c r="AS88" i="72" s="1"/>
  <c r="AQ89" i="72" s="1"/>
  <c r="CU100" i="72"/>
  <c r="CW100" i="72" s="1"/>
  <c r="CU101" i="72" s="1"/>
  <c r="CW99" i="72"/>
  <c r="C86" i="72"/>
  <c r="E86" i="72" s="1"/>
  <c r="C87" i="72" s="1"/>
  <c r="E85" i="72"/>
  <c r="BW92" i="72"/>
  <c r="BY92" i="72" s="1"/>
  <c r="BW93" i="72" s="1"/>
  <c r="BY91" i="72"/>
  <c r="CQ98" i="72"/>
  <c r="CS98" i="72" s="1"/>
  <c r="CQ99" i="72" s="1"/>
  <c r="CS97" i="72"/>
  <c r="K84" i="72"/>
  <c r="M84" i="72" s="1"/>
  <c r="K85" i="72" s="1"/>
  <c r="M83" i="72"/>
  <c r="Y85" i="72"/>
  <c r="W86" i="72"/>
  <c r="Y86" i="72" s="1"/>
  <c r="W87" i="72" s="1"/>
  <c r="O88" i="72"/>
  <c r="Q88" i="72" s="1"/>
  <c r="O89" i="72" s="1"/>
  <c r="Q87" i="72"/>
  <c r="AC87" i="72"/>
  <c r="AA88" i="72"/>
  <c r="AC88" i="72" s="1"/>
  <c r="AA89" i="72" s="1"/>
  <c r="BU89" i="72"/>
  <c r="BS90" i="72"/>
  <c r="BU90" i="72" s="1"/>
  <c r="BS91" i="72" s="1"/>
  <c r="AK89" i="72"/>
  <c r="AI90" i="72"/>
  <c r="AK90" i="72" s="1"/>
  <c r="AI91" i="72" s="1"/>
  <c r="AG85" i="72"/>
  <c r="AE86" i="72"/>
  <c r="AG86" i="72" s="1"/>
  <c r="AE87" i="72" s="1"/>
  <c r="U81" i="72"/>
  <c r="S82" i="72"/>
  <c r="U82" i="72" s="1"/>
  <c r="S83" i="72" s="1"/>
  <c r="BB62" i="72"/>
  <c r="AY63" i="72"/>
  <c r="S60" i="55" l="1"/>
  <c r="V59" i="55"/>
  <c r="G60" i="55"/>
  <c r="J59" i="55"/>
  <c r="Z61" i="55"/>
  <c r="W62" i="55"/>
  <c r="AI66" i="55"/>
  <c r="AL65" i="55"/>
  <c r="M60" i="55"/>
  <c r="N60" i="55" s="1"/>
  <c r="K61" i="55"/>
  <c r="M61" i="55" s="1"/>
  <c r="EA133" i="72"/>
  <c r="DY129" i="72"/>
  <c r="DW130" i="72"/>
  <c r="DY130" i="72" s="1"/>
  <c r="DU131" i="72"/>
  <c r="DS132" i="72"/>
  <c r="DU132" i="72" s="1"/>
  <c r="BK67" i="72"/>
  <c r="BN66" i="72"/>
  <c r="BF64" i="72"/>
  <c r="BC65" i="72"/>
  <c r="AG66" i="55"/>
  <c r="AH66" i="55" s="1"/>
  <c r="AE67" i="55"/>
  <c r="AG67" i="55" s="1"/>
  <c r="Q58" i="55"/>
  <c r="R58" i="55" s="1"/>
  <c r="O59" i="55"/>
  <c r="Q59" i="55" s="1"/>
  <c r="C57" i="55"/>
  <c r="E57" i="55" s="1"/>
  <c r="E56" i="55"/>
  <c r="F56" i="55" s="1"/>
  <c r="AM56" i="55" s="1"/>
  <c r="AO56" i="55" s="1"/>
  <c r="AA63" i="55"/>
  <c r="AC63" i="55" s="1"/>
  <c r="AC62" i="55"/>
  <c r="AD62" i="55" s="1"/>
  <c r="A45" i="64"/>
  <c r="A40" i="65" s="1"/>
  <c r="DK109" i="72"/>
  <c r="DG107" i="72"/>
  <c r="DC105" i="72"/>
  <c r="CY105" i="72"/>
  <c r="AY64" i="72"/>
  <c r="BA64" i="72" s="1"/>
  <c r="BA63" i="72"/>
  <c r="BB63" i="72" s="1"/>
  <c r="AG87" i="72"/>
  <c r="AE88" i="72"/>
  <c r="AG88" i="72" s="1"/>
  <c r="AE89" i="72" s="1"/>
  <c r="BS92" i="72"/>
  <c r="BU92" i="72" s="1"/>
  <c r="BS93" i="72" s="1"/>
  <c r="BU91" i="72"/>
  <c r="Y87" i="72"/>
  <c r="W88" i="72"/>
  <c r="Y88" i="72" s="1"/>
  <c r="W89" i="72" s="1"/>
  <c r="AS89" i="72"/>
  <c r="AQ90" i="72"/>
  <c r="AS90" i="72" s="1"/>
  <c r="AQ91" i="72" s="1"/>
  <c r="AW63" i="72"/>
  <c r="AX63" i="72" s="1"/>
  <c r="AU64" i="72"/>
  <c r="AW64" i="72" s="1"/>
  <c r="BO69" i="72"/>
  <c r="BR68" i="72"/>
  <c r="CI96" i="72"/>
  <c r="CK96" i="72" s="1"/>
  <c r="CI97" i="72" s="1"/>
  <c r="CK95" i="72"/>
  <c r="Q89" i="72"/>
  <c r="O90" i="72"/>
  <c r="Q90" i="72" s="1"/>
  <c r="O91" i="72" s="1"/>
  <c r="CS99" i="72"/>
  <c r="CQ100" i="72"/>
  <c r="CS100" i="72" s="1"/>
  <c r="CQ101" i="72" s="1"/>
  <c r="C88" i="72"/>
  <c r="E88" i="72" s="1"/>
  <c r="C89" i="72" s="1"/>
  <c r="E87" i="72"/>
  <c r="BG65" i="72"/>
  <c r="BJ64" i="72"/>
  <c r="CM102" i="72"/>
  <c r="CO102" i="72" s="1"/>
  <c r="CM103" i="72" s="1"/>
  <c r="CO101" i="72"/>
  <c r="S84" i="72"/>
  <c r="U84" i="72" s="1"/>
  <c r="S85" i="72" s="1"/>
  <c r="U83" i="72"/>
  <c r="AI92" i="72"/>
  <c r="AK92" i="72" s="1"/>
  <c r="AI93" i="72" s="1"/>
  <c r="AK91" i="72"/>
  <c r="AA90" i="72"/>
  <c r="AC90" i="72" s="1"/>
  <c r="AA91" i="72" s="1"/>
  <c r="AC89" i="72"/>
  <c r="CC93" i="72"/>
  <c r="CA94" i="72"/>
  <c r="CC94" i="72" s="1"/>
  <c r="CA95" i="72" s="1"/>
  <c r="I87" i="72"/>
  <c r="G88" i="72"/>
  <c r="I88" i="72" s="1"/>
  <c r="G89" i="72" s="1"/>
  <c r="AO91" i="72"/>
  <c r="AM92" i="72"/>
  <c r="AO92" i="72" s="1"/>
  <c r="AM93" i="72" s="1"/>
  <c r="M85" i="72"/>
  <c r="K86" i="72"/>
  <c r="M86" i="72" s="1"/>
  <c r="K87" i="72" s="1"/>
  <c r="BW94" i="72"/>
  <c r="BY94" i="72" s="1"/>
  <c r="BW95" i="72" s="1"/>
  <c r="BY93" i="72"/>
  <c r="CW101" i="72"/>
  <c r="CU102" i="72"/>
  <c r="CW102" i="72" s="1"/>
  <c r="CU103" i="72" s="1"/>
  <c r="CE94" i="72"/>
  <c r="CG94" i="72" s="1"/>
  <c r="CE95" i="72" s="1"/>
  <c r="CG93" i="72"/>
  <c r="S61" i="55" l="1"/>
  <c r="U61" i="55" s="1"/>
  <c r="U60" i="55"/>
  <c r="V60" i="55" s="1"/>
  <c r="W63" i="55"/>
  <c r="Y63" i="55" s="1"/>
  <c r="Y62" i="55"/>
  <c r="Z62" i="55" s="1"/>
  <c r="N61" i="55"/>
  <c r="K62" i="55"/>
  <c r="AK66" i="55"/>
  <c r="AL66" i="55" s="1"/>
  <c r="AI67" i="55"/>
  <c r="AK67" i="55" s="1"/>
  <c r="G61" i="55"/>
  <c r="I61" i="55" s="1"/>
  <c r="I60" i="55"/>
  <c r="J60" i="55" s="1"/>
  <c r="EA134" i="72"/>
  <c r="EC134" i="72" s="1"/>
  <c r="EC133" i="72"/>
  <c r="DW131" i="72"/>
  <c r="DS133" i="72"/>
  <c r="BM67" i="72"/>
  <c r="BN67" i="72" s="1"/>
  <c r="BK68" i="72"/>
  <c r="BM68" i="72" s="1"/>
  <c r="BC66" i="72"/>
  <c r="BE66" i="72" s="1"/>
  <c r="BE65" i="72"/>
  <c r="BF65" i="72" s="1"/>
  <c r="C58" i="55"/>
  <c r="F57" i="55"/>
  <c r="AM57" i="55" s="1"/>
  <c r="AN57" i="55" s="1"/>
  <c r="AE68" i="55"/>
  <c r="AH67" i="55"/>
  <c r="AA64" i="55"/>
  <c r="AD63" i="55"/>
  <c r="O60" i="55"/>
  <c r="R59" i="55"/>
  <c r="A47" i="64"/>
  <c r="F28" i="64"/>
  <c r="DM109" i="72"/>
  <c r="DK110" i="72"/>
  <c r="DM110" i="72" s="1"/>
  <c r="DI107" i="72"/>
  <c r="DG108" i="72"/>
  <c r="DI108" i="72" s="1"/>
  <c r="DE105" i="72"/>
  <c r="DC106" i="72"/>
  <c r="DE106" i="72" s="1"/>
  <c r="DA105" i="72"/>
  <c r="CY106" i="72"/>
  <c r="DA106" i="72" s="1"/>
  <c r="AO93" i="72"/>
  <c r="AM94" i="72"/>
  <c r="AO94" i="72" s="1"/>
  <c r="AM95" i="72" s="1"/>
  <c r="O92" i="72"/>
  <c r="Q92" i="72" s="1"/>
  <c r="O93" i="72" s="1"/>
  <c r="Q91" i="72"/>
  <c r="AS91" i="72"/>
  <c r="AQ92" i="72"/>
  <c r="AS92" i="72" s="1"/>
  <c r="AQ93" i="72" s="1"/>
  <c r="CG95" i="72"/>
  <c r="CE96" i="72"/>
  <c r="CG96" i="72" s="1"/>
  <c r="CE97" i="72" s="1"/>
  <c r="BW96" i="72"/>
  <c r="BY96" i="72" s="1"/>
  <c r="BW97" i="72" s="1"/>
  <c r="BY95" i="72"/>
  <c r="AK93" i="72"/>
  <c r="AI94" i="72"/>
  <c r="AK94" i="72" s="1"/>
  <c r="AI95" i="72" s="1"/>
  <c r="CO103" i="72"/>
  <c r="CM104" i="72"/>
  <c r="CO104" i="72" s="1"/>
  <c r="CM105" i="72" s="1"/>
  <c r="C90" i="72"/>
  <c r="E90" i="72" s="1"/>
  <c r="C91" i="72" s="1"/>
  <c r="E89" i="72"/>
  <c r="BO70" i="72"/>
  <c r="BQ70" i="72" s="1"/>
  <c r="BQ69" i="72"/>
  <c r="BR69" i="72" s="1"/>
  <c r="BU93" i="72"/>
  <c r="BS94" i="72"/>
  <c r="BU94" i="72" s="1"/>
  <c r="BS95" i="72" s="1"/>
  <c r="AY65" i="72"/>
  <c r="BB64" i="72"/>
  <c r="CU104" i="72"/>
  <c r="CW104" i="72" s="1"/>
  <c r="CU105" i="72" s="1"/>
  <c r="CW103" i="72"/>
  <c r="K88" i="72"/>
  <c r="M88" i="72" s="1"/>
  <c r="K89" i="72" s="1"/>
  <c r="M87" i="72"/>
  <c r="I89" i="72"/>
  <c r="G90" i="72"/>
  <c r="I90" i="72" s="1"/>
  <c r="G91" i="72" s="1"/>
  <c r="CC95" i="72"/>
  <c r="CA96" i="72"/>
  <c r="CC96" i="72" s="1"/>
  <c r="CA97" i="72" s="1"/>
  <c r="CQ102" i="72"/>
  <c r="CS102" i="72" s="1"/>
  <c r="CQ103" i="72" s="1"/>
  <c r="CS101" i="72"/>
  <c r="AX64" i="72"/>
  <c r="AU65" i="72"/>
  <c r="Y89" i="72"/>
  <c r="W90" i="72"/>
  <c r="Y90" i="72" s="1"/>
  <c r="W91" i="72" s="1"/>
  <c r="AG89" i="72"/>
  <c r="AE90" i="72"/>
  <c r="AG90" i="72" s="1"/>
  <c r="AE91" i="72" s="1"/>
  <c r="AA92" i="72"/>
  <c r="AC92" i="72" s="1"/>
  <c r="AA93" i="72" s="1"/>
  <c r="AC91" i="72"/>
  <c r="S86" i="72"/>
  <c r="U86" i="72" s="1"/>
  <c r="S87" i="72" s="1"/>
  <c r="U85" i="72"/>
  <c r="BG66" i="72"/>
  <c r="BI66" i="72" s="1"/>
  <c r="BI65" i="72"/>
  <c r="BJ65" i="72" s="1"/>
  <c r="CK97" i="72"/>
  <c r="CI98" i="72"/>
  <c r="CK98" i="72" s="1"/>
  <c r="CI99" i="72" s="1"/>
  <c r="S62" i="55" l="1"/>
  <c r="V61" i="55"/>
  <c r="G62" i="55"/>
  <c r="J61" i="55"/>
  <c r="M62" i="55"/>
  <c r="N62" i="55" s="1"/>
  <c r="K63" i="55"/>
  <c r="M63" i="55" s="1"/>
  <c r="AI68" i="55"/>
  <c r="AL67" i="55"/>
  <c r="W64" i="55"/>
  <c r="Z63" i="55"/>
  <c r="EA135" i="72"/>
  <c r="DY131" i="72"/>
  <c r="DW132" i="72"/>
  <c r="DY132" i="72" s="1"/>
  <c r="DU133" i="72"/>
  <c r="DS134" i="72"/>
  <c r="DU134" i="72" s="1"/>
  <c r="BN68" i="72"/>
  <c r="BK69" i="72"/>
  <c r="BF66" i="72"/>
  <c r="BC67" i="72"/>
  <c r="E58" i="55"/>
  <c r="F58" i="55" s="1"/>
  <c r="AM58" i="55" s="1"/>
  <c r="AO58" i="55" s="1"/>
  <c r="C59" i="55"/>
  <c r="E59" i="55" s="1"/>
  <c r="Q60" i="55"/>
  <c r="R60" i="55" s="1"/>
  <c r="O61" i="55"/>
  <c r="Q61" i="55" s="1"/>
  <c r="AE69" i="55"/>
  <c r="AG69" i="55" s="1"/>
  <c r="AG68" i="55"/>
  <c r="AH68" i="55" s="1"/>
  <c r="AA65" i="55"/>
  <c r="AC65" i="55" s="1"/>
  <c r="AC64" i="55"/>
  <c r="AD64" i="55" s="1"/>
  <c r="A51" i="64"/>
  <c r="A52" i="64"/>
  <c r="A61" i="65" s="1"/>
  <c r="DK111" i="72"/>
  <c r="DG109" i="72"/>
  <c r="DC107" i="72"/>
  <c r="CY107" i="72"/>
  <c r="CI100" i="72"/>
  <c r="CK100" i="72" s="1"/>
  <c r="CI101" i="72" s="1"/>
  <c r="CK99" i="72"/>
  <c r="AE92" i="72"/>
  <c r="AG92" i="72" s="1"/>
  <c r="AE93" i="72" s="1"/>
  <c r="AG91" i="72"/>
  <c r="AW65" i="72"/>
  <c r="AX65" i="72" s="1"/>
  <c r="AU66" i="72"/>
  <c r="AW66" i="72" s="1"/>
  <c r="CA98" i="72"/>
  <c r="CC98" i="72" s="1"/>
  <c r="CA99" i="72" s="1"/>
  <c r="CC97" i="72"/>
  <c r="CO105" i="72"/>
  <c r="CM106" i="72"/>
  <c r="CO106" i="72" s="1"/>
  <c r="CM107" i="72" s="1"/>
  <c r="AQ94" i="72"/>
  <c r="AS94" i="72" s="1"/>
  <c r="AQ95" i="72" s="1"/>
  <c r="AS93" i="72"/>
  <c r="AO95" i="72"/>
  <c r="AM96" i="72"/>
  <c r="AO96" i="72" s="1"/>
  <c r="AM97" i="72" s="1"/>
  <c r="S88" i="72"/>
  <c r="U88" i="72" s="1"/>
  <c r="S89" i="72" s="1"/>
  <c r="U87" i="72"/>
  <c r="M89" i="72"/>
  <c r="K90" i="72"/>
  <c r="M90" i="72" s="1"/>
  <c r="K91" i="72" s="1"/>
  <c r="BA65" i="72"/>
  <c r="BB65" i="72" s="1"/>
  <c r="AY66" i="72"/>
  <c r="BA66" i="72" s="1"/>
  <c r="BO71" i="72"/>
  <c r="BR70" i="72"/>
  <c r="BW98" i="72"/>
  <c r="BY98" i="72" s="1"/>
  <c r="BW99" i="72" s="1"/>
  <c r="BY97" i="72"/>
  <c r="Y91" i="72"/>
  <c r="W92" i="72"/>
  <c r="Y92" i="72" s="1"/>
  <c r="W93" i="72" s="1"/>
  <c r="I91" i="72"/>
  <c r="G92" i="72"/>
  <c r="I92" i="72" s="1"/>
  <c r="G93" i="72" s="1"/>
  <c r="BU95" i="72"/>
  <c r="BS96" i="72"/>
  <c r="BU96" i="72" s="1"/>
  <c r="BS97" i="72" s="1"/>
  <c r="AI96" i="72"/>
  <c r="AK96" i="72" s="1"/>
  <c r="AI97" i="72" s="1"/>
  <c r="AK95" i="72"/>
  <c r="CE98" i="72"/>
  <c r="CG98" i="72" s="1"/>
  <c r="CE99" i="72" s="1"/>
  <c r="CG97" i="72"/>
  <c r="BG67" i="72"/>
  <c r="BJ66" i="72"/>
  <c r="AA94" i="72"/>
  <c r="AC94" i="72" s="1"/>
  <c r="AA95" i="72" s="1"/>
  <c r="AC93" i="72"/>
  <c r="CQ104" i="72"/>
  <c r="CS104" i="72" s="1"/>
  <c r="CQ105" i="72" s="1"/>
  <c r="CS103" i="72"/>
  <c r="CW105" i="72"/>
  <c r="CU106" i="72"/>
  <c r="CW106" i="72" s="1"/>
  <c r="CU107" i="72" s="1"/>
  <c r="E91" i="72"/>
  <c r="C92" i="72"/>
  <c r="E92" i="72" s="1"/>
  <c r="Q93" i="72"/>
  <c r="O94" i="72"/>
  <c r="Q94" i="72" s="1"/>
  <c r="O95" i="72" s="1"/>
  <c r="U62" i="55" l="1"/>
  <c r="V62" i="55" s="1"/>
  <c r="S63" i="55"/>
  <c r="U63" i="55" s="1"/>
  <c r="Y64" i="55"/>
  <c r="Z64" i="55" s="1"/>
  <c r="W65" i="55"/>
  <c r="Y65" i="55" s="1"/>
  <c r="K64" i="55"/>
  <c r="N63" i="55"/>
  <c r="AI69" i="55"/>
  <c r="AK69" i="55" s="1"/>
  <c r="AK68" i="55"/>
  <c r="AL68" i="55" s="1"/>
  <c r="G63" i="55"/>
  <c r="I63" i="55" s="1"/>
  <c r="I62" i="55"/>
  <c r="J62" i="55" s="1"/>
  <c r="EA136" i="72"/>
  <c r="EC136" i="72" s="1"/>
  <c r="EC135" i="72"/>
  <c r="DW133" i="72"/>
  <c r="DS135" i="72"/>
  <c r="BM69" i="72"/>
  <c r="BN69" i="72" s="1"/>
  <c r="BK70" i="72"/>
  <c r="BM70" i="72" s="1"/>
  <c r="BC68" i="72"/>
  <c r="BE68" i="72" s="1"/>
  <c r="BE67" i="72"/>
  <c r="BF67" i="72" s="1"/>
  <c r="AA66" i="55"/>
  <c r="AD65" i="55"/>
  <c r="C60" i="55"/>
  <c r="F59" i="55"/>
  <c r="AM59" i="55" s="1"/>
  <c r="AN59" i="55" s="1"/>
  <c r="O62" i="55"/>
  <c r="R61" i="55"/>
  <c r="AE70" i="55"/>
  <c r="AH69" i="55"/>
  <c r="A53" i="64"/>
  <c r="DM111" i="72"/>
  <c r="DK112" i="72"/>
  <c r="DM112" i="72" s="1"/>
  <c r="DI109" i="72"/>
  <c r="DG110" i="72"/>
  <c r="DI110" i="72" s="1"/>
  <c r="DE107" i="72"/>
  <c r="DC108" i="72"/>
  <c r="DE108" i="72" s="1"/>
  <c r="DA107" i="72"/>
  <c r="CY108" i="72"/>
  <c r="DA108" i="72" s="1"/>
  <c r="O96" i="72"/>
  <c r="Q96" i="72" s="1"/>
  <c r="O97" i="72" s="1"/>
  <c r="Q95" i="72"/>
  <c r="CW107" i="72"/>
  <c r="CU108" i="72"/>
  <c r="CW108" i="72" s="1"/>
  <c r="CU109" i="72" s="1"/>
  <c r="I93" i="72"/>
  <c r="G94" i="72"/>
  <c r="I94" i="72" s="1"/>
  <c r="M91" i="72"/>
  <c r="K92" i="72"/>
  <c r="M92" i="72" s="1"/>
  <c r="K93" i="72" s="1"/>
  <c r="AO97" i="72"/>
  <c r="AM98" i="72"/>
  <c r="AO98" i="72" s="1"/>
  <c r="AM99" i="72" s="1"/>
  <c r="CO107" i="72"/>
  <c r="CM108" i="72"/>
  <c r="CO108" i="72" s="1"/>
  <c r="CM109" i="72" s="1"/>
  <c r="AU67" i="72"/>
  <c r="AX66" i="72"/>
  <c r="AC95" i="72"/>
  <c r="AA96" i="72"/>
  <c r="AC96" i="72" s="1"/>
  <c r="AA97" i="72" s="1"/>
  <c r="AI98" i="72"/>
  <c r="AK98" i="72" s="1"/>
  <c r="AI99" i="72" s="1"/>
  <c r="AK97" i="72"/>
  <c r="BO72" i="72"/>
  <c r="BQ72" i="72" s="1"/>
  <c r="BQ71" i="72"/>
  <c r="BR71" i="72" s="1"/>
  <c r="CI102" i="72"/>
  <c r="CK102" i="72" s="1"/>
  <c r="CI103" i="72" s="1"/>
  <c r="CK101" i="72"/>
  <c r="C93" i="72"/>
  <c r="BU97" i="72"/>
  <c r="BS98" i="72"/>
  <c r="BU98" i="72" s="1"/>
  <c r="BS99" i="72" s="1"/>
  <c r="W94" i="72"/>
  <c r="Y94" i="72" s="1"/>
  <c r="W95" i="72" s="1"/>
  <c r="Y93" i="72"/>
  <c r="AY67" i="72"/>
  <c r="BB66" i="72"/>
  <c r="CQ106" i="72"/>
  <c r="CS106" i="72" s="1"/>
  <c r="CQ107" i="72" s="1"/>
  <c r="CS105" i="72"/>
  <c r="BI67" i="72"/>
  <c r="BJ67" i="72" s="1"/>
  <c r="BG68" i="72"/>
  <c r="BI68" i="72" s="1"/>
  <c r="CG99" i="72"/>
  <c r="CE100" i="72"/>
  <c r="CG100" i="72" s="1"/>
  <c r="CE101" i="72" s="1"/>
  <c r="BW100" i="72"/>
  <c r="BY100" i="72" s="1"/>
  <c r="BW101" i="72" s="1"/>
  <c r="BY99" i="72"/>
  <c r="S90" i="72"/>
  <c r="U90" i="72" s="1"/>
  <c r="S91" i="72" s="1"/>
  <c r="U89" i="72"/>
  <c r="AS95" i="72"/>
  <c r="AQ96" i="72"/>
  <c r="AS96" i="72" s="1"/>
  <c r="AQ97" i="72" s="1"/>
  <c r="CC99" i="72"/>
  <c r="CA100" i="72"/>
  <c r="CC100" i="72" s="1"/>
  <c r="CA101" i="72" s="1"/>
  <c r="AG93" i="72"/>
  <c r="AE94" i="72"/>
  <c r="AG94" i="72" s="1"/>
  <c r="AE95" i="72" s="1"/>
  <c r="S64" i="55" l="1"/>
  <c r="V63" i="55"/>
  <c r="G64" i="55"/>
  <c r="J63" i="55"/>
  <c r="M64" i="55"/>
  <c r="N64" i="55" s="1"/>
  <c r="K65" i="55"/>
  <c r="M65" i="55" s="1"/>
  <c r="Z65" i="55"/>
  <c r="W66" i="55"/>
  <c r="AI70" i="55"/>
  <c r="AL69" i="55"/>
  <c r="EA137" i="72"/>
  <c r="DY133" i="72"/>
  <c r="DW134" i="72"/>
  <c r="DY134" i="72" s="1"/>
  <c r="DU135" i="72"/>
  <c r="DS136" i="72"/>
  <c r="DU136" i="72" s="1"/>
  <c r="BK71" i="72"/>
  <c r="BN70" i="72"/>
  <c r="BF68" i="72"/>
  <c r="BC69" i="72"/>
  <c r="O63" i="55"/>
  <c r="Q63" i="55" s="1"/>
  <c r="Q62" i="55"/>
  <c r="R62" i="55" s="1"/>
  <c r="E60" i="55"/>
  <c r="F60" i="55" s="1"/>
  <c r="AM60" i="55" s="1"/>
  <c r="AO60" i="55" s="1"/>
  <c r="C61" i="55"/>
  <c r="E61" i="55" s="1"/>
  <c r="AG70" i="55"/>
  <c r="AH70" i="55" s="1"/>
  <c r="AE71" i="55"/>
  <c r="AG71" i="55" s="1"/>
  <c r="AH71" i="55" s="1"/>
  <c r="AC66" i="55"/>
  <c r="AD66" i="55" s="1"/>
  <c r="AA67" i="55"/>
  <c r="AC67" i="55" s="1"/>
  <c r="A54" i="64"/>
  <c r="FX28" i="72"/>
  <c r="FG57" i="72"/>
  <c r="FL28" i="72"/>
  <c r="FG59" i="72"/>
  <c r="FD29" i="72"/>
  <c r="FH28" i="72"/>
  <c r="FT28" i="72"/>
  <c r="FG61" i="72"/>
  <c r="FG55" i="72"/>
  <c r="DK113" i="72"/>
  <c r="DG111" i="72"/>
  <c r="DC109" i="72"/>
  <c r="CY109" i="72"/>
  <c r="BY101" i="72"/>
  <c r="BW102" i="72"/>
  <c r="BY102" i="72" s="1"/>
  <c r="BW103" i="72" s="1"/>
  <c r="BS100" i="72"/>
  <c r="BU100" i="72" s="1"/>
  <c r="BS101" i="72" s="1"/>
  <c r="BU99" i="72"/>
  <c r="AO99" i="72"/>
  <c r="AM100" i="72"/>
  <c r="AO100" i="72" s="1"/>
  <c r="AM101" i="72" s="1"/>
  <c r="G95" i="72"/>
  <c r="CA102" i="72"/>
  <c r="CC102" i="72" s="1"/>
  <c r="CA103" i="72" s="1"/>
  <c r="CC101" i="72"/>
  <c r="CG101" i="72"/>
  <c r="CE102" i="72"/>
  <c r="CG102" i="72" s="1"/>
  <c r="CE103" i="72" s="1"/>
  <c r="AY68" i="72"/>
  <c r="BA68" i="72" s="1"/>
  <c r="BA67" i="72"/>
  <c r="BB67" i="72" s="1"/>
  <c r="CI104" i="72"/>
  <c r="CK104" i="72" s="1"/>
  <c r="CI105" i="72" s="1"/>
  <c r="CK103" i="72"/>
  <c r="AU68" i="72"/>
  <c r="AW68" i="72" s="1"/>
  <c r="AW67" i="72"/>
  <c r="AX67" i="72" s="1"/>
  <c r="O98" i="72"/>
  <c r="Q98" i="72" s="1"/>
  <c r="O99" i="72" s="1"/>
  <c r="Q97" i="72"/>
  <c r="S92" i="72"/>
  <c r="U92" i="72" s="1"/>
  <c r="S93" i="72" s="1"/>
  <c r="U91" i="72"/>
  <c r="CS107" i="72"/>
  <c r="CQ108" i="72"/>
  <c r="CS108" i="72" s="1"/>
  <c r="CQ109" i="72" s="1"/>
  <c r="AA98" i="72"/>
  <c r="AC98" i="72" s="1"/>
  <c r="AA99" i="72" s="1"/>
  <c r="AC97" i="72"/>
  <c r="CM110" i="72"/>
  <c r="CO110" i="72" s="1"/>
  <c r="CM111" i="72" s="1"/>
  <c r="CO109" i="72"/>
  <c r="M93" i="72"/>
  <c r="K94" i="72"/>
  <c r="M94" i="72" s="1"/>
  <c r="CW109" i="72"/>
  <c r="CU110" i="72"/>
  <c r="CW110" i="72" s="1"/>
  <c r="CU111" i="72" s="1"/>
  <c r="AG95" i="72"/>
  <c r="AE96" i="72"/>
  <c r="AG96" i="72" s="1"/>
  <c r="AE97" i="72" s="1"/>
  <c r="AQ98" i="72"/>
  <c r="AS98" i="72" s="1"/>
  <c r="AQ99" i="72" s="1"/>
  <c r="AS97" i="72"/>
  <c r="BG69" i="72"/>
  <c r="BJ68" i="72"/>
  <c r="Y95" i="72"/>
  <c r="W96" i="72"/>
  <c r="Y96" i="72" s="1"/>
  <c r="W97" i="72" s="1"/>
  <c r="C94" i="72"/>
  <c r="E94" i="72" s="1"/>
  <c r="E93" i="72"/>
  <c r="BR72" i="72"/>
  <c r="BO73" i="72"/>
  <c r="AI100" i="72"/>
  <c r="AK100" i="72" s="1"/>
  <c r="AI101" i="72" s="1"/>
  <c r="AK99" i="72"/>
  <c r="U64" i="55" l="1"/>
  <c r="V64" i="55" s="1"/>
  <c r="S65" i="55"/>
  <c r="U65" i="55" s="1"/>
  <c r="AI71" i="55"/>
  <c r="AK71" i="55" s="1"/>
  <c r="AL71" i="55" s="1"/>
  <c r="AK70" i="55"/>
  <c r="AL70" i="55" s="1"/>
  <c r="N65" i="55"/>
  <c r="K66" i="55"/>
  <c r="Y66" i="55"/>
  <c r="Z66" i="55" s="1"/>
  <c r="W67" i="55"/>
  <c r="Y67" i="55" s="1"/>
  <c r="G65" i="55"/>
  <c r="I65" i="55" s="1"/>
  <c r="I64" i="55"/>
  <c r="J64" i="55" s="1"/>
  <c r="EA138" i="72"/>
  <c r="EC138" i="72" s="1"/>
  <c r="EC137" i="72"/>
  <c r="DW135" i="72"/>
  <c r="DS137" i="72"/>
  <c r="BM71" i="72"/>
  <c r="BN71" i="72" s="1"/>
  <c r="BK72" i="72"/>
  <c r="BM72" i="72" s="1"/>
  <c r="BE69" i="72"/>
  <c r="BF69" i="72" s="1"/>
  <c r="BC70" i="72"/>
  <c r="BE70" i="72" s="1"/>
  <c r="AA68" i="55"/>
  <c r="AD67" i="55"/>
  <c r="C62" i="55"/>
  <c r="F61" i="55"/>
  <c r="AM61" i="55" s="1"/>
  <c r="AN61" i="55" s="1"/>
  <c r="O64" i="55"/>
  <c r="R63" i="55"/>
  <c r="A55" i="64"/>
  <c r="FG75" i="72"/>
  <c r="FG58" i="72"/>
  <c r="FG63" i="72"/>
  <c r="FG68" i="72"/>
  <c r="FG72" i="72"/>
  <c r="FG67" i="72"/>
  <c r="FG60" i="72"/>
  <c r="FG65" i="72"/>
  <c r="FG70" i="72"/>
  <c r="FG74" i="72"/>
  <c r="FG56" i="72"/>
  <c r="FG71" i="72"/>
  <c r="FG76" i="72"/>
  <c r="FG62" i="72"/>
  <c r="FG66" i="72"/>
  <c r="FG69" i="72"/>
  <c r="FG73" i="72"/>
  <c r="FG64" i="72"/>
  <c r="GA57" i="72"/>
  <c r="FX29" i="72"/>
  <c r="GA59" i="72"/>
  <c r="GB28" i="72"/>
  <c r="GA61" i="72"/>
  <c r="FH29" i="72"/>
  <c r="FK61" i="72"/>
  <c r="FK55" i="72"/>
  <c r="FK57" i="72"/>
  <c r="FK59" i="72"/>
  <c r="FT29" i="72"/>
  <c r="FW61" i="72"/>
  <c r="FW57" i="72"/>
  <c r="FW59" i="72"/>
  <c r="FL29" i="72"/>
  <c r="FO59" i="72"/>
  <c r="FP28" i="72"/>
  <c r="FO61" i="72"/>
  <c r="FO57" i="72"/>
  <c r="FO55" i="72"/>
  <c r="DM113" i="72"/>
  <c r="DK114" i="72"/>
  <c r="DM114" i="72" s="1"/>
  <c r="DI111" i="72"/>
  <c r="DG112" i="72"/>
  <c r="DI112" i="72" s="1"/>
  <c r="DE109" i="72"/>
  <c r="DC110" i="72"/>
  <c r="DE110" i="72" s="1"/>
  <c r="DA109" i="72"/>
  <c r="CY110" i="72"/>
  <c r="DA110" i="72" s="1"/>
  <c r="AG97" i="72"/>
  <c r="AE98" i="72"/>
  <c r="AG98" i="72" s="1"/>
  <c r="AE99" i="72" s="1"/>
  <c r="K95" i="72"/>
  <c r="AM102" i="72"/>
  <c r="AO102" i="72" s="1"/>
  <c r="AM103" i="72" s="1"/>
  <c r="AO101" i="72"/>
  <c r="BY103" i="72"/>
  <c r="BW104" i="72"/>
  <c r="BY104" i="72" s="1"/>
  <c r="BW105" i="72" s="1"/>
  <c r="AI102" i="72"/>
  <c r="AK102" i="72" s="1"/>
  <c r="AI103" i="72" s="1"/>
  <c r="AK101" i="72"/>
  <c r="C95" i="72"/>
  <c r="BI69" i="72"/>
  <c r="BJ69" i="72" s="1"/>
  <c r="BG70" i="72"/>
  <c r="BI70" i="72" s="1"/>
  <c r="AA100" i="72"/>
  <c r="AC100" i="72" s="1"/>
  <c r="AA101" i="72" s="1"/>
  <c r="AC99" i="72"/>
  <c r="U93" i="72"/>
  <c r="S94" i="72"/>
  <c r="U94" i="72" s="1"/>
  <c r="S95" i="72" s="1"/>
  <c r="AU69" i="72"/>
  <c r="AX68" i="72"/>
  <c r="AY69" i="72"/>
  <c r="BB68" i="72"/>
  <c r="CC103" i="72"/>
  <c r="CA104" i="72"/>
  <c r="CC104" i="72" s="1"/>
  <c r="CA105" i="72" s="1"/>
  <c r="BQ73" i="72"/>
  <c r="BR73" i="72" s="1"/>
  <c r="BO74" i="72"/>
  <c r="BQ74" i="72" s="1"/>
  <c r="Y97" i="72"/>
  <c r="W98" i="72"/>
  <c r="Y98" i="72" s="1"/>
  <c r="W99" i="72" s="1"/>
  <c r="CU112" i="72"/>
  <c r="CW112" i="72" s="1"/>
  <c r="CU113" i="72" s="1"/>
  <c r="CW111" i="72"/>
  <c r="CQ110" i="72"/>
  <c r="CS110" i="72" s="1"/>
  <c r="CQ111" i="72" s="1"/>
  <c r="CS109" i="72"/>
  <c r="CE104" i="72"/>
  <c r="CG104" i="72" s="1"/>
  <c r="CE105" i="72" s="1"/>
  <c r="CG103" i="72"/>
  <c r="AQ100" i="72"/>
  <c r="AS100" i="72" s="1"/>
  <c r="AQ101" i="72" s="1"/>
  <c r="AS99" i="72"/>
  <c r="CO111" i="72"/>
  <c r="CM112" i="72"/>
  <c r="CO112" i="72" s="1"/>
  <c r="CM113" i="72" s="1"/>
  <c r="O100" i="72"/>
  <c r="Q100" i="72" s="1"/>
  <c r="Q99" i="72"/>
  <c r="CK105" i="72"/>
  <c r="CI106" i="72"/>
  <c r="CK106" i="72" s="1"/>
  <c r="CI107" i="72" s="1"/>
  <c r="I95" i="72"/>
  <c r="G96" i="72"/>
  <c r="I96" i="72" s="1"/>
  <c r="BS102" i="72"/>
  <c r="BU102" i="72" s="1"/>
  <c r="BS103" i="72" s="1"/>
  <c r="BU101" i="72"/>
  <c r="V65" i="55" l="1"/>
  <c r="S66" i="55"/>
  <c r="M66" i="55"/>
  <c r="N66" i="55" s="1"/>
  <c r="K67" i="55"/>
  <c r="M67" i="55" s="1"/>
  <c r="G66" i="55"/>
  <c r="J65" i="55"/>
  <c r="Z67" i="55"/>
  <c r="W68" i="55"/>
  <c r="EA139" i="72"/>
  <c r="DY135" i="72"/>
  <c r="DW136" i="72"/>
  <c r="DY136" i="72" s="1"/>
  <c r="DU137" i="72"/>
  <c r="DS138" i="72"/>
  <c r="DU138" i="72" s="1"/>
  <c r="BN72" i="72"/>
  <c r="BK73" i="72"/>
  <c r="BC71" i="72"/>
  <c r="BF70" i="72"/>
  <c r="O65" i="55"/>
  <c r="Q65" i="55" s="1"/>
  <c r="Q64" i="55"/>
  <c r="R64" i="55" s="1"/>
  <c r="C63" i="55"/>
  <c r="E63" i="55" s="1"/>
  <c r="E62" i="55"/>
  <c r="F62" i="55" s="1"/>
  <c r="AM62" i="55" s="1"/>
  <c r="AO62" i="55" s="1"/>
  <c r="AC68" i="55"/>
  <c r="AD68" i="55" s="1"/>
  <c r="AA69" i="55"/>
  <c r="AC69" i="55" s="1"/>
  <c r="A56" i="64"/>
  <c r="F57" i="64"/>
  <c r="FO58" i="72"/>
  <c r="FO64" i="72"/>
  <c r="FO68" i="72"/>
  <c r="FO72" i="72"/>
  <c r="FO76" i="72"/>
  <c r="FO67" i="72"/>
  <c r="FO60" i="72"/>
  <c r="FO65" i="72"/>
  <c r="FO70" i="72"/>
  <c r="FO74" i="72"/>
  <c r="FO56" i="72"/>
  <c r="FO71" i="72"/>
  <c r="FO75" i="72"/>
  <c r="FO62" i="72"/>
  <c r="FO66" i="72"/>
  <c r="FO69" i="72"/>
  <c r="FO73" i="72"/>
  <c r="FO63" i="72"/>
  <c r="FW58" i="72"/>
  <c r="FW64" i="72"/>
  <c r="FW68" i="72"/>
  <c r="FW71" i="72"/>
  <c r="FW76" i="72"/>
  <c r="FW75" i="72"/>
  <c r="FW60" i="72"/>
  <c r="FW66" i="72"/>
  <c r="FW69" i="72"/>
  <c r="FW73" i="72"/>
  <c r="FW78" i="72"/>
  <c r="FW63" i="72"/>
  <c r="FW67" i="72"/>
  <c r="FW72" i="72"/>
  <c r="FW62" i="72"/>
  <c r="FW65" i="72"/>
  <c r="FW70" i="72"/>
  <c r="FW74" i="72"/>
  <c r="FW77" i="72"/>
  <c r="GE59" i="72"/>
  <c r="GE57" i="72"/>
  <c r="GB29" i="72"/>
  <c r="GE61" i="72"/>
  <c r="GF28" i="72"/>
  <c r="FS55" i="72"/>
  <c r="FS57" i="72"/>
  <c r="FP29" i="72"/>
  <c r="FS59" i="72"/>
  <c r="FS61" i="72"/>
  <c r="FK60" i="72"/>
  <c r="FK66" i="72"/>
  <c r="FK70" i="72"/>
  <c r="FK73" i="72"/>
  <c r="FK75" i="72"/>
  <c r="FK62" i="72"/>
  <c r="FK65" i="72"/>
  <c r="FK69" i="72"/>
  <c r="FK74" i="72"/>
  <c r="FK58" i="72"/>
  <c r="FK64" i="72"/>
  <c r="FK67" i="72"/>
  <c r="FK71" i="72"/>
  <c r="FK56" i="72"/>
  <c r="FK63" i="72"/>
  <c r="FK68" i="72"/>
  <c r="FK72" i="72"/>
  <c r="FK76" i="72"/>
  <c r="GA58" i="72"/>
  <c r="GA64" i="72"/>
  <c r="GA67" i="72"/>
  <c r="GA71" i="72"/>
  <c r="GA76" i="72"/>
  <c r="GA68" i="72"/>
  <c r="GA75" i="72"/>
  <c r="GA60" i="72"/>
  <c r="GA65" i="72"/>
  <c r="GA70" i="72"/>
  <c r="GA74" i="72"/>
  <c r="GA78" i="72"/>
  <c r="GA63" i="72"/>
  <c r="GA72" i="72"/>
  <c r="GA62" i="72"/>
  <c r="GA66" i="72"/>
  <c r="GA69" i="72"/>
  <c r="GA73" i="72"/>
  <c r="GA77" i="72"/>
  <c r="DK115" i="72"/>
  <c r="DG113" i="72"/>
  <c r="DC111" i="72"/>
  <c r="CY111" i="72"/>
  <c r="G97" i="72"/>
  <c r="Y99" i="72"/>
  <c r="W100" i="72"/>
  <c r="Y100" i="72" s="1"/>
  <c r="W101" i="72" s="1"/>
  <c r="S96" i="72"/>
  <c r="U96" i="72" s="1"/>
  <c r="U95" i="72"/>
  <c r="BG71" i="72"/>
  <c r="BJ70" i="72"/>
  <c r="AG99" i="72"/>
  <c r="AE100" i="72"/>
  <c r="AG100" i="72" s="1"/>
  <c r="AE101" i="72" s="1"/>
  <c r="BS104" i="72"/>
  <c r="BU104" i="72" s="1"/>
  <c r="BS105" i="72" s="1"/>
  <c r="BU103" i="72"/>
  <c r="O101" i="72"/>
  <c r="AS101" i="72"/>
  <c r="AQ102" i="72"/>
  <c r="AS102" i="72" s="1"/>
  <c r="AQ103" i="72" s="1"/>
  <c r="CQ112" i="72"/>
  <c r="CS112" i="72" s="1"/>
  <c r="CQ113" i="72" s="1"/>
  <c r="CS111" i="72"/>
  <c r="BA69" i="72"/>
  <c r="BB69" i="72" s="1"/>
  <c r="AY70" i="72"/>
  <c r="BA70" i="72" s="1"/>
  <c r="AK103" i="72"/>
  <c r="AI104" i="72"/>
  <c r="AK104" i="72" s="1"/>
  <c r="AI105" i="72" s="1"/>
  <c r="AM104" i="72"/>
  <c r="AO104" i="72" s="1"/>
  <c r="AM105" i="72" s="1"/>
  <c r="AO103" i="72"/>
  <c r="CI108" i="72"/>
  <c r="CK108" i="72" s="1"/>
  <c r="CI109" i="72" s="1"/>
  <c r="CK107" i="72"/>
  <c r="CO113" i="72"/>
  <c r="CM114" i="72"/>
  <c r="CO114" i="72" s="1"/>
  <c r="CM115" i="72" s="1"/>
  <c r="BR74" i="72"/>
  <c r="BO75" i="72"/>
  <c r="CA106" i="72"/>
  <c r="CC106" i="72" s="1"/>
  <c r="CA107" i="72" s="1"/>
  <c r="CC105" i="72"/>
  <c r="BW106" i="72"/>
  <c r="BY106" i="72" s="1"/>
  <c r="BW107" i="72" s="1"/>
  <c r="BY105" i="72"/>
  <c r="CG105" i="72"/>
  <c r="CE106" i="72"/>
  <c r="CG106" i="72" s="1"/>
  <c r="CE107" i="72" s="1"/>
  <c r="CW113" i="72"/>
  <c r="CU114" i="72"/>
  <c r="CW114" i="72" s="1"/>
  <c r="CU115" i="72" s="1"/>
  <c r="AU70" i="72"/>
  <c r="AW70" i="72" s="1"/>
  <c r="AW69" i="72"/>
  <c r="AX69" i="72" s="1"/>
  <c r="AC101" i="72"/>
  <c r="AA102" i="72"/>
  <c r="AC102" i="72" s="1"/>
  <c r="AA103" i="72" s="1"/>
  <c r="E95" i="72"/>
  <c r="C96" i="72"/>
  <c r="E96" i="72" s="1"/>
  <c r="K96" i="72"/>
  <c r="M96" i="72" s="1"/>
  <c r="M95" i="72"/>
  <c r="S67" i="55" l="1"/>
  <c r="U67" i="55" s="1"/>
  <c r="U66" i="55"/>
  <c r="V66" i="55" s="1"/>
  <c r="G67" i="55"/>
  <c r="I67" i="55" s="1"/>
  <c r="I66" i="55"/>
  <c r="J66" i="55" s="1"/>
  <c r="Y68" i="55"/>
  <c r="Z68" i="55" s="1"/>
  <c r="W69" i="55"/>
  <c r="Y69" i="55" s="1"/>
  <c r="K68" i="55"/>
  <c r="N67" i="55"/>
  <c r="EA140" i="72"/>
  <c r="EC140" i="72" s="1"/>
  <c r="EC139" i="72"/>
  <c r="DW137" i="72"/>
  <c r="DS139" i="72"/>
  <c r="BK74" i="72"/>
  <c r="BM74" i="72" s="1"/>
  <c r="BM73" i="72"/>
  <c r="BN73" i="72" s="1"/>
  <c r="BC72" i="72"/>
  <c r="BE72" i="72" s="1"/>
  <c r="BE71" i="72"/>
  <c r="BF71" i="72" s="1"/>
  <c r="AA70" i="55"/>
  <c r="AD69" i="55"/>
  <c r="C64" i="55"/>
  <c r="F63" i="55"/>
  <c r="AM63" i="55" s="1"/>
  <c r="AN63" i="55" s="1"/>
  <c r="O66" i="55"/>
  <c r="R65" i="55"/>
  <c r="A57" i="64"/>
  <c r="F59" i="64"/>
  <c r="GE58" i="72"/>
  <c r="GE63" i="72"/>
  <c r="GE67" i="72"/>
  <c r="GE71" i="72"/>
  <c r="GE76" i="72"/>
  <c r="GE75" i="72"/>
  <c r="GE60" i="72"/>
  <c r="GE65" i="72"/>
  <c r="GE70" i="72"/>
  <c r="GE73" i="72"/>
  <c r="GE78" i="72"/>
  <c r="GE64" i="72"/>
  <c r="GE68" i="72"/>
  <c r="GE62" i="72"/>
  <c r="GE66" i="72"/>
  <c r="GE69" i="72"/>
  <c r="GE74" i="72"/>
  <c r="GE77" i="72"/>
  <c r="GE72" i="72"/>
  <c r="FS60" i="72"/>
  <c r="FS65" i="72"/>
  <c r="FS70" i="72"/>
  <c r="FS74" i="72"/>
  <c r="FS58" i="72"/>
  <c r="FS76" i="72"/>
  <c r="FS62" i="72"/>
  <c r="FS66" i="72"/>
  <c r="FS69" i="72"/>
  <c r="FS73" i="72"/>
  <c r="FS64" i="72"/>
  <c r="FS72" i="72"/>
  <c r="FS56" i="72"/>
  <c r="FS63" i="72"/>
  <c r="FS67" i="72"/>
  <c r="FS71" i="72"/>
  <c r="FS75" i="72"/>
  <c r="FS68" i="72"/>
  <c r="GI57" i="72"/>
  <c r="GJ28" i="72"/>
  <c r="GI61" i="72"/>
  <c r="GF29" i="72"/>
  <c r="GI59" i="72"/>
  <c r="DM115" i="72"/>
  <c r="DK116" i="72"/>
  <c r="DM116" i="72" s="1"/>
  <c r="DI113" i="72"/>
  <c r="DG114" i="72"/>
  <c r="DI114" i="72" s="1"/>
  <c r="DE111" i="72"/>
  <c r="DC112" i="72"/>
  <c r="DE112" i="72" s="1"/>
  <c r="DA111" i="72"/>
  <c r="CY112" i="72"/>
  <c r="DA112" i="72" s="1"/>
  <c r="AC103" i="72"/>
  <c r="AA104" i="72"/>
  <c r="AC104" i="72" s="1"/>
  <c r="AA105" i="72" s="1"/>
  <c r="CW115" i="72"/>
  <c r="CU116" i="72"/>
  <c r="CW116" i="72" s="1"/>
  <c r="CU117" i="72" s="1"/>
  <c r="CO115" i="72"/>
  <c r="CM116" i="72"/>
  <c r="CO116" i="72" s="1"/>
  <c r="CM117" i="72" s="1"/>
  <c r="BB70" i="72"/>
  <c r="AY71" i="72"/>
  <c r="AE102" i="72"/>
  <c r="AG102" i="72" s="1"/>
  <c r="AE103" i="72" s="1"/>
  <c r="AG101" i="72"/>
  <c r="K97" i="72"/>
  <c r="CA108" i="72"/>
  <c r="CC108" i="72" s="1"/>
  <c r="CA109" i="72" s="1"/>
  <c r="CC107" i="72"/>
  <c r="AM106" i="72"/>
  <c r="AO106" i="72" s="1"/>
  <c r="AM107" i="72" s="1"/>
  <c r="AO105" i="72"/>
  <c r="CQ114" i="72"/>
  <c r="CS114" i="72" s="1"/>
  <c r="CQ115" i="72" s="1"/>
  <c r="CS113" i="72"/>
  <c r="Q101" i="72"/>
  <c r="O102" i="72"/>
  <c r="Q102" i="72" s="1"/>
  <c r="S97" i="72"/>
  <c r="I97" i="72"/>
  <c r="G98" i="72"/>
  <c r="I98" i="72" s="1"/>
  <c r="C97" i="72"/>
  <c r="CG107" i="72"/>
  <c r="CE108" i="72"/>
  <c r="CG108" i="72" s="1"/>
  <c r="CE109" i="72" s="1"/>
  <c r="BQ75" i="72"/>
  <c r="BR75" i="72" s="1"/>
  <c r="BO76" i="72"/>
  <c r="BQ76" i="72" s="1"/>
  <c r="BR76" i="72" s="1"/>
  <c r="AK105" i="72"/>
  <c r="AI106" i="72"/>
  <c r="AK106" i="72" s="1"/>
  <c r="AI107" i="72" s="1"/>
  <c r="AQ104" i="72"/>
  <c r="AS104" i="72" s="1"/>
  <c r="AQ105" i="72" s="1"/>
  <c r="AS103" i="72"/>
  <c r="W102" i="72"/>
  <c r="Y102" i="72" s="1"/>
  <c r="Y101" i="72"/>
  <c r="AU71" i="72"/>
  <c r="AX70" i="72"/>
  <c r="BY107" i="72"/>
  <c r="BW108" i="72"/>
  <c r="BY108" i="72" s="1"/>
  <c r="BW109" i="72" s="1"/>
  <c r="CI110" i="72"/>
  <c r="CK110" i="72" s="1"/>
  <c r="CI111" i="72" s="1"/>
  <c r="CK109" i="72"/>
  <c r="BU105" i="72"/>
  <c r="BS106" i="72"/>
  <c r="BU106" i="72" s="1"/>
  <c r="BS107" i="72" s="1"/>
  <c r="BG72" i="72"/>
  <c r="BI72" i="72" s="1"/>
  <c r="BI71" i="72"/>
  <c r="BJ71" i="72" s="1"/>
  <c r="S68" i="55" l="1"/>
  <c r="V67" i="55"/>
  <c r="W70" i="55"/>
  <c r="Z69" i="55"/>
  <c r="K69" i="55"/>
  <c r="M69" i="55" s="1"/>
  <c r="M68" i="55"/>
  <c r="N68" i="55" s="1"/>
  <c r="G68" i="55"/>
  <c r="J67" i="55"/>
  <c r="EA141" i="72"/>
  <c r="DY137" i="72"/>
  <c r="DW138" i="72"/>
  <c r="DY138" i="72" s="1"/>
  <c r="DU139" i="72"/>
  <c r="DS140" i="72"/>
  <c r="DU140" i="72" s="1"/>
  <c r="BK75" i="72"/>
  <c r="BN74" i="72"/>
  <c r="BC73" i="72"/>
  <c r="BF72" i="72"/>
  <c r="O67" i="55"/>
  <c r="Q67" i="55" s="1"/>
  <c r="Q66" i="55"/>
  <c r="R66" i="55" s="1"/>
  <c r="E64" i="55"/>
  <c r="F64" i="55" s="1"/>
  <c r="AM64" i="55" s="1"/>
  <c r="AO64" i="55" s="1"/>
  <c r="C65" i="55"/>
  <c r="E65" i="55" s="1"/>
  <c r="AA71" i="55"/>
  <c r="AC71" i="55" s="1"/>
  <c r="AD71" i="55" s="1"/>
  <c r="AC70" i="55"/>
  <c r="AD70" i="55" s="1"/>
  <c r="A58" i="64"/>
  <c r="GI58" i="72"/>
  <c r="GI64" i="72"/>
  <c r="GI67" i="72"/>
  <c r="GI72" i="72"/>
  <c r="GI76" i="72"/>
  <c r="GI71" i="72"/>
  <c r="GI60" i="72"/>
  <c r="GI66" i="72"/>
  <c r="GI69" i="72"/>
  <c r="GI73" i="72"/>
  <c r="GI78" i="72"/>
  <c r="GI68" i="72"/>
  <c r="GI75" i="72"/>
  <c r="GI62" i="72"/>
  <c r="GI65" i="72"/>
  <c r="GI70" i="72"/>
  <c r="GI74" i="72"/>
  <c r="GI77" i="72"/>
  <c r="GI63" i="72"/>
  <c r="GN28" i="72"/>
  <c r="GM57" i="72"/>
  <c r="GM61" i="72"/>
  <c r="GM59" i="72"/>
  <c r="GJ29" i="72"/>
  <c r="DK117" i="72"/>
  <c r="DG115" i="72"/>
  <c r="DC113" i="72"/>
  <c r="CY113" i="72"/>
  <c r="BW110" i="72"/>
  <c r="BY110" i="72" s="1"/>
  <c r="BW111" i="72" s="1"/>
  <c r="BY109" i="72"/>
  <c r="AK107" i="72"/>
  <c r="AI108" i="72"/>
  <c r="AK108" i="72" s="1"/>
  <c r="AI109" i="72" s="1"/>
  <c r="CG109" i="72"/>
  <c r="CE110" i="72"/>
  <c r="CG110" i="72" s="1"/>
  <c r="CE111" i="72" s="1"/>
  <c r="G99" i="72"/>
  <c r="O103" i="72"/>
  <c r="CO117" i="72"/>
  <c r="CM118" i="72"/>
  <c r="CO118" i="72" s="1"/>
  <c r="CM119" i="72" s="1"/>
  <c r="AC105" i="72"/>
  <c r="AA106" i="72"/>
  <c r="AC106" i="72" s="1"/>
  <c r="BG73" i="72"/>
  <c r="BJ72" i="72"/>
  <c r="W103" i="72"/>
  <c r="AO107" i="72"/>
  <c r="AM108" i="72"/>
  <c r="AO108" i="72" s="1"/>
  <c r="AM109" i="72" s="1"/>
  <c r="AE104" i="72"/>
  <c r="AG104" i="72" s="1"/>
  <c r="AE105" i="72" s="1"/>
  <c r="AG103" i="72"/>
  <c r="BS108" i="72"/>
  <c r="BU108" i="72" s="1"/>
  <c r="BS109" i="72" s="1"/>
  <c r="BU107" i="72"/>
  <c r="BA71" i="72"/>
  <c r="BB71" i="72" s="1"/>
  <c r="AY72" i="72"/>
  <c r="BA72" i="72" s="1"/>
  <c r="CW117" i="72"/>
  <c r="CU118" i="72"/>
  <c r="CW118" i="72" s="1"/>
  <c r="CU119" i="72" s="1"/>
  <c r="CI112" i="72"/>
  <c r="CK112" i="72" s="1"/>
  <c r="CI113" i="72" s="1"/>
  <c r="CK111" i="72"/>
  <c r="AW71" i="72"/>
  <c r="AX71" i="72" s="1"/>
  <c r="AU72" i="72"/>
  <c r="AW72" i="72" s="1"/>
  <c r="AS105" i="72"/>
  <c r="AQ106" i="72"/>
  <c r="AS106" i="72" s="1"/>
  <c r="AQ107" i="72" s="1"/>
  <c r="C98" i="72"/>
  <c r="E98" i="72" s="1"/>
  <c r="E97" i="72"/>
  <c r="U97" i="72"/>
  <c r="S98" i="72"/>
  <c r="U98" i="72" s="1"/>
  <c r="CQ116" i="72"/>
  <c r="CS116" i="72" s="1"/>
  <c r="CQ117" i="72" s="1"/>
  <c r="CS115" i="72"/>
  <c r="CA110" i="72"/>
  <c r="CC110" i="72" s="1"/>
  <c r="CA111" i="72" s="1"/>
  <c r="CC109" i="72"/>
  <c r="M97" i="72"/>
  <c r="K98" i="72"/>
  <c r="M98" i="72" s="1"/>
  <c r="U68" i="55" l="1"/>
  <c r="V68" i="55" s="1"/>
  <c r="S69" i="55"/>
  <c r="U69" i="55" s="1"/>
  <c r="K70" i="55"/>
  <c r="N69" i="55"/>
  <c r="I68" i="55"/>
  <c r="J68" i="55" s="1"/>
  <c r="G69" i="55"/>
  <c r="I69" i="55" s="1"/>
  <c r="W71" i="55"/>
  <c r="Y71" i="55" s="1"/>
  <c r="Z71" i="55" s="1"/>
  <c r="Y70" i="55"/>
  <c r="Z70" i="55" s="1"/>
  <c r="EA142" i="72"/>
  <c r="EC142" i="72" s="1"/>
  <c r="EC141" i="72"/>
  <c r="DW139" i="72"/>
  <c r="DS141" i="72"/>
  <c r="BK76" i="72"/>
  <c r="BM76" i="72" s="1"/>
  <c r="BN76" i="72" s="1"/>
  <c r="BM75" i="72"/>
  <c r="BN75" i="72" s="1"/>
  <c r="BE73" i="72"/>
  <c r="BF73" i="72" s="1"/>
  <c r="BC74" i="72"/>
  <c r="BE74" i="72" s="1"/>
  <c r="C66" i="55"/>
  <c r="F65" i="55"/>
  <c r="AM65" i="55" s="1"/>
  <c r="AN65" i="55" s="1"/>
  <c r="O68" i="55"/>
  <c r="R67" i="55"/>
  <c r="A59" i="64"/>
  <c r="F61" i="64"/>
  <c r="GM62" i="72"/>
  <c r="GM66" i="72"/>
  <c r="GM70" i="72"/>
  <c r="GM73" i="72"/>
  <c r="GM77" i="72"/>
  <c r="GM69" i="72"/>
  <c r="GM64" i="72"/>
  <c r="GM67" i="72"/>
  <c r="GM71" i="72"/>
  <c r="GM75" i="72"/>
  <c r="GM65" i="72"/>
  <c r="GM74" i="72"/>
  <c r="GM58" i="72"/>
  <c r="GM63" i="72"/>
  <c r="GM68" i="72"/>
  <c r="GM72" i="72"/>
  <c r="GM76" i="72"/>
  <c r="GM60" i="72"/>
  <c r="GM78" i="72"/>
  <c r="GN29" i="72"/>
  <c r="GQ59" i="72"/>
  <c r="GQ61" i="72"/>
  <c r="GQ57" i="72"/>
  <c r="GR28" i="72"/>
  <c r="DM117" i="72"/>
  <c r="DK118" i="72"/>
  <c r="DM118" i="72" s="1"/>
  <c r="DI115" i="72"/>
  <c r="DG116" i="72"/>
  <c r="DI116" i="72" s="1"/>
  <c r="DE113" i="72"/>
  <c r="DC114" i="72"/>
  <c r="DE114" i="72" s="1"/>
  <c r="DA113" i="72"/>
  <c r="CY114" i="72"/>
  <c r="DA114" i="72" s="1"/>
  <c r="CQ118" i="72"/>
  <c r="CS118" i="72" s="1"/>
  <c r="CQ119" i="72" s="1"/>
  <c r="CS117" i="72"/>
  <c r="C99" i="72"/>
  <c r="BU109" i="72"/>
  <c r="BS110" i="72"/>
  <c r="BU110" i="72" s="1"/>
  <c r="BS111" i="72" s="1"/>
  <c r="BG74" i="72"/>
  <c r="BI74" i="72" s="1"/>
  <c r="BI73" i="72"/>
  <c r="BJ73" i="72" s="1"/>
  <c r="CO119" i="72"/>
  <c r="CM120" i="72"/>
  <c r="CO120" i="72" s="1"/>
  <c r="CM121" i="72" s="1"/>
  <c r="AI110" i="72"/>
  <c r="AK110" i="72" s="1"/>
  <c r="AI111" i="72" s="1"/>
  <c r="AK109" i="72"/>
  <c r="S99" i="72"/>
  <c r="AS107" i="72"/>
  <c r="AQ108" i="72"/>
  <c r="AS108" i="72" s="1"/>
  <c r="AQ109" i="72" s="1"/>
  <c r="AY73" i="72"/>
  <c r="BB72" i="72"/>
  <c r="I99" i="72"/>
  <c r="G100" i="72"/>
  <c r="I100" i="72" s="1"/>
  <c r="CC111" i="72"/>
  <c r="CA112" i="72"/>
  <c r="CC112" i="72" s="1"/>
  <c r="CA113" i="72" s="1"/>
  <c r="CK113" i="72"/>
  <c r="CI114" i="72"/>
  <c r="CK114" i="72" s="1"/>
  <c r="CI115" i="72" s="1"/>
  <c r="AG105" i="72"/>
  <c r="AE106" i="72"/>
  <c r="AG106" i="72" s="1"/>
  <c r="W104" i="72"/>
  <c r="Y104" i="72" s="1"/>
  <c r="Y103" i="72"/>
  <c r="AA107" i="72"/>
  <c r="CG111" i="72"/>
  <c r="CE112" i="72"/>
  <c r="CG112" i="72" s="1"/>
  <c r="CE113" i="72" s="1"/>
  <c r="K99" i="72"/>
  <c r="AU73" i="72"/>
  <c r="AX72" i="72"/>
  <c r="CW119" i="72"/>
  <c r="CU120" i="72"/>
  <c r="CW120" i="72" s="1"/>
  <c r="CU121" i="72" s="1"/>
  <c r="AM110" i="72"/>
  <c r="AO110" i="72" s="1"/>
  <c r="AM111" i="72" s="1"/>
  <c r="AO109" i="72"/>
  <c r="Q103" i="72"/>
  <c r="O104" i="72"/>
  <c r="Q104" i="72" s="1"/>
  <c r="BY111" i="72"/>
  <c r="BW112" i="72"/>
  <c r="BY112" i="72" s="1"/>
  <c r="BW113" i="72" s="1"/>
  <c r="S70" i="55" l="1"/>
  <c r="V69" i="55"/>
  <c r="G70" i="55"/>
  <c r="J69" i="55"/>
  <c r="M70" i="55"/>
  <c r="N70" i="55" s="1"/>
  <c r="K71" i="55"/>
  <c r="M71" i="55" s="1"/>
  <c r="N71" i="55" s="1"/>
  <c r="EA143" i="72"/>
  <c r="DY139" i="72"/>
  <c r="DW140" i="72"/>
  <c r="DY140" i="72" s="1"/>
  <c r="DU141" i="72"/>
  <c r="DS142" i="72"/>
  <c r="DU142" i="72" s="1"/>
  <c r="BF74" i="72"/>
  <c r="BC75" i="72"/>
  <c r="O69" i="55"/>
  <c r="Q69" i="55" s="1"/>
  <c r="Q68" i="55"/>
  <c r="R68" i="55" s="1"/>
  <c r="C67" i="55"/>
  <c r="E67" i="55" s="1"/>
  <c r="E66" i="55"/>
  <c r="F66" i="55" s="1"/>
  <c r="AM66" i="55" s="1"/>
  <c r="AO66" i="55" s="1"/>
  <c r="A61" i="64"/>
  <c r="F63" i="64"/>
  <c r="GR29" i="72"/>
  <c r="GV28" i="72"/>
  <c r="GZ28" i="72" s="1"/>
  <c r="HD28" i="72" s="1"/>
  <c r="GU61" i="72"/>
  <c r="GU59" i="72"/>
  <c r="GQ64" i="72"/>
  <c r="GQ67" i="72"/>
  <c r="GQ72" i="72"/>
  <c r="GQ75" i="72"/>
  <c r="GQ70" i="72"/>
  <c r="GQ60" i="72"/>
  <c r="GQ63" i="72"/>
  <c r="GQ68" i="72"/>
  <c r="GQ71" i="72"/>
  <c r="GQ76" i="72"/>
  <c r="GQ65" i="72"/>
  <c r="GQ78" i="72"/>
  <c r="GQ58" i="72"/>
  <c r="GQ66" i="72"/>
  <c r="GQ69" i="72"/>
  <c r="GQ73" i="72"/>
  <c r="GQ77" i="72"/>
  <c r="GQ62" i="72"/>
  <c r="GQ74" i="72"/>
  <c r="DK119" i="72"/>
  <c r="DG117" i="72"/>
  <c r="DC115" i="72"/>
  <c r="CY115" i="72"/>
  <c r="BY113" i="72"/>
  <c r="BW114" i="72"/>
  <c r="BY114" i="72" s="1"/>
  <c r="BW115" i="72" s="1"/>
  <c r="CG113" i="72"/>
  <c r="CE114" i="72"/>
  <c r="CG114" i="72" s="1"/>
  <c r="CE115" i="72" s="1"/>
  <c r="CI116" i="72"/>
  <c r="CK116" i="72" s="1"/>
  <c r="CI117" i="72" s="1"/>
  <c r="CK115" i="72"/>
  <c r="G101" i="72"/>
  <c r="AS109" i="72"/>
  <c r="AQ110" i="72"/>
  <c r="AS110" i="72" s="1"/>
  <c r="AQ111" i="72" s="1"/>
  <c r="CO121" i="72"/>
  <c r="CM122" i="72"/>
  <c r="CO122" i="72" s="1"/>
  <c r="CM123" i="72" s="1"/>
  <c r="BS112" i="72"/>
  <c r="BU112" i="72" s="1"/>
  <c r="BS113" i="72" s="1"/>
  <c r="BU111" i="72"/>
  <c r="AM112" i="72"/>
  <c r="AO112" i="72" s="1"/>
  <c r="AM113" i="72" s="1"/>
  <c r="AO111" i="72"/>
  <c r="AU74" i="72"/>
  <c r="AW74" i="72" s="1"/>
  <c r="AW73" i="72"/>
  <c r="AX73" i="72" s="1"/>
  <c r="W105" i="72"/>
  <c r="CQ120" i="72"/>
  <c r="CS120" i="72" s="1"/>
  <c r="CQ121" i="72" s="1"/>
  <c r="CS119" i="72"/>
  <c r="O105" i="72"/>
  <c r="CW121" i="72"/>
  <c r="CU122" i="72"/>
  <c r="CW122" i="72" s="1"/>
  <c r="CU123" i="72" s="1"/>
  <c r="AE107" i="72"/>
  <c r="CA114" i="72"/>
  <c r="CC114" i="72" s="1"/>
  <c r="CA115" i="72" s="1"/>
  <c r="CC113" i="72"/>
  <c r="M99" i="72"/>
  <c r="K100" i="72"/>
  <c r="M100" i="72" s="1"/>
  <c r="AC107" i="72"/>
  <c r="AA108" i="72"/>
  <c r="AC108" i="72" s="1"/>
  <c r="AY74" i="72"/>
  <c r="BA74" i="72" s="1"/>
  <c r="BA73" i="72"/>
  <c r="BB73" i="72" s="1"/>
  <c r="S100" i="72"/>
  <c r="U100" i="72" s="1"/>
  <c r="U99" i="72"/>
  <c r="AK111" i="72"/>
  <c r="AI112" i="72"/>
  <c r="AK112" i="72" s="1"/>
  <c r="BG75" i="72"/>
  <c r="BJ74" i="72"/>
  <c r="E99" i="72"/>
  <c r="C100" i="72"/>
  <c r="E100" i="72" s="1"/>
  <c r="HD29" i="72" l="1"/>
  <c r="HG65" i="72"/>
  <c r="HH28" i="72"/>
  <c r="S71" i="55"/>
  <c r="U71" i="55" s="1"/>
  <c r="V71" i="55" s="1"/>
  <c r="U70" i="55"/>
  <c r="V70" i="55" s="1"/>
  <c r="I70" i="55"/>
  <c r="J70" i="55" s="1"/>
  <c r="G71" i="55"/>
  <c r="I71" i="55" s="1"/>
  <c r="J71" i="55" s="1"/>
  <c r="AM71" i="55" s="1"/>
  <c r="AN71" i="55" s="1"/>
  <c r="EA144" i="72"/>
  <c r="EC144" i="72" s="1"/>
  <c r="EC143" i="72"/>
  <c r="DW141" i="72"/>
  <c r="DS143" i="72"/>
  <c r="BE75" i="72"/>
  <c r="BF75" i="72" s="1"/>
  <c r="BC76" i="72"/>
  <c r="BE76" i="72" s="1"/>
  <c r="BF76" i="72" s="1"/>
  <c r="HC63" i="72"/>
  <c r="GZ29" i="72"/>
  <c r="C68" i="55"/>
  <c r="F67" i="55"/>
  <c r="AM67" i="55" s="1"/>
  <c r="AN67" i="55" s="1"/>
  <c r="O70" i="55"/>
  <c r="R69" i="55"/>
  <c r="A63" i="64"/>
  <c r="F225" i="64"/>
  <c r="F31" i="64"/>
  <c r="GY61" i="72"/>
  <c r="GV29" i="72"/>
  <c r="GY62" i="72" s="1"/>
  <c r="GU64" i="72"/>
  <c r="GU68" i="72"/>
  <c r="GU72" i="72"/>
  <c r="GU75" i="72"/>
  <c r="GU80" i="72"/>
  <c r="GU76" i="72"/>
  <c r="GU62" i="72"/>
  <c r="GU66" i="72"/>
  <c r="GU69" i="72"/>
  <c r="GU73" i="72"/>
  <c r="GU77" i="72"/>
  <c r="GU70" i="72"/>
  <c r="GU78" i="72"/>
  <c r="GU65" i="72"/>
  <c r="GU71" i="72"/>
  <c r="GU63" i="72"/>
  <c r="GU67" i="72"/>
  <c r="GU74" i="72"/>
  <c r="GU60" i="72"/>
  <c r="GU79" i="72"/>
  <c r="DM119" i="72"/>
  <c r="DK120" i="72"/>
  <c r="DM120" i="72" s="1"/>
  <c r="DI117" i="72"/>
  <c r="DG118" i="72"/>
  <c r="DI118" i="72" s="1"/>
  <c r="DE115" i="72"/>
  <c r="DC116" i="72"/>
  <c r="DE116" i="72" s="1"/>
  <c r="DA115" i="72"/>
  <c r="CY116" i="72"/>
  <c r="DA116" i="72" s="1"/>
  <c r="AA109" i="72"/>
  <c r="CW123" i="72"/>
  <c r="CU124" i="72"/>
  <c r="CW124" i="72" s="1"/>
  <c r="CU125" i="72" s="1"/>
  <c r="AQ112" i="72"/>
  <c r="AS112" i="72" s="1"/>
  <c r="AQ113" i="72" s="1"/>
  <c r="AS111" i="72"/>
  <c r="BY115" i="72"/>
  <c r="BW116" i="72"/>
  <c r="BY116" i="72" s="1"/>
  <c r="BW117" i="72" s="1"/>
  <c r="BG76" i="72"/>
  <c r="BI76" i="72" s="1"/>
  <c r="BJ76" i="72" s="1"/>
  <c r="BI75" i="72"/>
  <c r="BJ75" i="72" s="1"/>
  <c r="S101" i="72"/>
  <c r="CA116" i="72"/>
  <c r="CC116" i="72" s="1"/>
  <c r="CA117" i="72" s="1"/>
  <c r="CC115" i="72"/>
  <c r="CQ122" i="72"/>
  <c r="CS122" i="72" s="1"/>
  <c r="CQ123" i="72" s="1"/>
  <c r="CS121" i="72"/>
  <c r="AU75" i="72"/>
  <c r="AX74" i="72"/>
  <c r="BS114" i="72"/>
  <c r="BU114" i="72" s="1"/>
  <c r="BS115" i="72" s="1"/>
  <c r="BU113" i="72"/>
  <c r="CI118" i="72"/>
  <c r="CK118" i="72" s="1"/>
  <c r="CI119" i="72" s="1"/>
  <c r="CK117" i="72"/>
  <c r="C101" i="72"/>
  <c r="AI113" i="72"/>
  <c r="K101" i="72"/>
  <c r="CO123" i="72"/>
  <c r="CM124" i="72"/>
  <c r="CO124" i="72" s="1"/>
  <c r="CM125" i="72" s="1"/>
  <c r="CG115" i="72"/>
  <c r="CE116" i="72"/>
  <c r="CG116" i="72" s="1"/>
  <c r="CE117" i="72" s="1"/>
  <c r="AY75" i="72"/>
  <c r="BB74" i="72"/>
  <c r="AE108" i="72"/>
  <c r="AG108" i="72" s="1"/>
  <c r="AG107" i="72"/>
  <c r="Q105" i="72"/>
  <c r="O106" i="72"/>
  <c r="Q106" i="72" s="1"/>
  <c r="W106" i="72"/>
  <c r="Y106" i="72" s="1"/>
  <c r="Y105" i="72"/>
  <c r="AM114" i="72"/>
  <c r="AO114" i="72" s="1"/>
  <c r="AO113" i="72"/>
  <c r="G102" i="72"/>
  <c r="I102" i="72" s="1"/>
  <c r="I101" i="72"/>
  <c r="HL28" i="72" l="1"/>
  <c r="HO67" i="72" s="1"/>
  <c r="HK65" i="72"/>
  <c r="HL29" i="72"/>
  <c r="HO68" i="72" s="1"/>
  <c r="HP28" i="72"/>
  <c r="HT28" i="72" s="1"/>
  <c r="HO69" i="72"/>
  <c r="HO70" i="72"/>
  <c r="HO71" i="72"/>
  <c r="HO73" i="72"/>
  <c r="HO87" i="72"/>
  <c r="HO88" i="72"/>
  <c r="HG66" i="72"/>
  <c r="HG67" i="72"/>
  <c r="HG68" i="72"/>
  <c r="HG69" i="72"/>
  <c r="HG70" i="72"/>
  <c r="HG71" i="72"/>
  <c r="HG72" i="72"/>
  <c r="HG73" i="72"/>
  <c r="HG74" i="72"/>
  <c r="HG75" i="72"/>
  <c r="HG76" i="72"/>
  <c r="HG77" i="72"/>
  <c r="HG78" i="72"/>
  <c r="HG79" i="72"/>
  <c r="HG80" i="72"/>
  <c r="HG81" i="72"/>
  <c r="HG82" i="72"/>
  <c r="HG84" i="72"/>
  <c r="HG83" i="72"/>
  <c r="HG85" i="72"/>
  <c r="HG86" i="72"/>
  <c r="HH29" i="72"/>
  <c r="HK66" i="72" s="1"/>
  <c r="EA145" i="72"/>
  <c r="DY141" i="72"/>
  <c r="DW142" i="72"/>
  <c r="DY142" i="72" s="1"/>
  <c r="DU143" i="72"/>
  <c r="DS144" i="72"/>
  <c r="DU144" i="72" s="1"/>
  <c r="HC64" i="72"/>
  <c r="HC65" i="72"/>
  <c r="HC68" i="72"/>
  <c r="HC66" i="72"/>
  <c r="HC67" i="72"/>
  <c r="HC69" i="72"/>
  <c r="HC70" i="72"/>
  <c r="HC71" i="72"/>
  <c r="HC72" i="72"/>
  <c r="HC73" i="72"/>
  <c r="HC74" i="72"/>
  <c r="HC75" i="72"/>
  <c r="HC76" i="72"/>
  <c r="HC77" i="72"/>
  <c r="HC78" i="72"/>
  <c r="HC79" i="72"/>
  <c r="HC80" i="72"/>
  <c r="HC81" i="72"/>
  <c r="HC82" i="72"/>
  <c r="HC84" i="72"/>
  <c r="HC83" i="72"/>
  <c r="O71" i="55"/>
  <c r="Q71" i="55" s="1"/>
  <c r="R71" i="55" s="1"/>
  <c r="Q70" i="55"/>
  <c r="R70" i="55" s="1"/>
  <c r="E68" i="55"/>
  <c r="F68" i="55" s="1"/>
  <c r="AM68" i="55" s="1"/>
  <c r="AO68" i="55" s="1"/>
  <c r="C69" i="55"/>
  <c r="E69" i="55" s="1"/>
  <c r="A68" i="64"/>
  <c r="GY70" i="72"/>
  <c r="GY77" i="72"/>
  <c r="GY75" i="72"/>
  <c r="GY76" i="72"/>
  <c r="GY73" i="72"/>
  <c r="GY74" i="72"/>
  <c r="GY65" i="72"/>
  <c r="GY64" i="72"/>
  <c r="GY63" i="72"/>
  <c r="GY82" i="72"/>
  <c r="GY66" i="72"/>
  <c r="GY72" i="72"/>
  <c r="GY80" i="72"/>
  <c r="GY78" i="72"/>
  <c r="GY69" i="72"/>
  <c r="GY68" i="72"/>
  <c r="GY67" i="72"/>
  <c r="GY81" i="72"/>
  <c r="GY79" i="72"/>
  <c r="GY71" i="72"/>
  <c r="DK121" i="72"/>
  <c r="DG119" i="72"/>
  <c r="DC117" i="72"/>
  <c r="CY117" i="72"/>
  <c r="O107" i="72"/>
  <c r="CO125" i="72"/>
  <c r="CM126" i="72"/>
  <c r="CO126" i="72" s="1"/>
  <c r="CM127" i="72" s="1"/>
  <c r="AM115" i="72"/>
  <c r="AY76" i="72"/>
  <c r="BA76" i="72" s="1"/>
  <c r="BB76" i="72" s="1"/>
  <c r="BA75" i="72"/>
  <c r="BB75" i="72" s="1"/>
  <c r="AK113" i="72"/>
  <c r="AI114" i="72"/>
  <c r="AK114" i="72" s="1"/>
  <c r="CI120" i="72"/>
  <c r="CK120" i="72" s="1"/>
  <c r="CI121" i="72" s="1"/>
  <c r="CK119" i="72"/>
  <c r="AU76" i="72"/>
  <c r="AW76" i="72" s="1"/>
  <c r="AX76" i="72" s="1"/>
  <c r="AW75" i="72"/>
  <c r="AX75" i="72" s="1"/>
  <c r="CA118" i="72"/>
  <c r="CC118" i="72" s="1"/>
  <c r="CA119" i="72" s="1"/>
  <c r="CC117" i="72"/>
  <c r="AS113" i="72"/>
  <c r="AQ114" i="72"/>
  <c r="AS114" i="72" s="1"/>
  <c r="AC109" i="72"/>
  <c r="AA110" i="72"/>
  <c r="AC110" i="72" s="1"/>
  <c r="CG117" i="72"/>
  <c r="CE118" i="72"/>
  <c r="CG118" i="72" s="1"/>
  <c r="CE119" i="72" s="1"/>
  <c r="BY117" i="72"/>
  <c r="BW118" i="72"/>
  <c r="BY118" i="72" s="1"/>
  <c r="BW119" i="72" s="1"/>
  <c r="CW125" i="72"/>
  <c r="CU126" i="72"/>
  <c r="CW126" i="72" s="1"/>
  <c r="CU127" i="72" s="1"/>
  <c r="G103" i="72"/>
  <c r="W107" i="72"/>
  <c r="AE109" i="72"/>
  <c r="M101" i="72"/>
  <c r="K102" i="72"/>
  <c r="M102" i="72" s="1"/>
  <c r="E101" i="72"/>
  <c r="C102" i="72"/>
  <c r="E102" i="72" s="1"/>
  <c r="BS116" i="72"/>
  <c r="BU116" i="72" s="1"/>
  <c r="BS117" i="72" s="1"/>
  <c r="BU115" i="72"/>
  <c r="CQ124" i="72"/>
  <c r="CS124" i="72" s="1"/>
  <c r="CQ125" i="72" s="1"/>
  <c r="CS123" i="72"/>
  <c r="U101" i="72"/>
  <c r="S102" i="72"/>
  <c r="U102" i="72" s="1"/>
  <c r="HO86" i="72" l="1"/>
  <c r="HO85" i="72"/>
  <c r="HO84" i="72"/>
  <c r="HO83" i="72"/>
  <c r="HO82" i="72"/>
  <c r="HO81" i="72"/>
  <c r="HT29" i="72"/>
  <c r="HW71" i="72"/>
  <c r="HO79" i="72"/>
  <c r="HO78" i="72"/>
  <c r="HO77" i="72"/>
  <c r="HO76" i="72"/>
  <c r="HO75" i="72"/>
  <c r="HO74" i="72"/>
  <c r="HP29" i="72"/>
  <c r="HS69" i="72"/>
  <c r="HO80" i="72"/>
  <c r="HO72" i="72"/>
  <c r="HK68" i="72"/>
  <c r="HK67" i="72"/>
  <c r="HK70" i="72"/>
  <c r="HK69" i="72"/>
  <c r="HK71" i="72"/>
  <c r="HK72" i="72"/>
  <c r="HK73" i="72"/>
  <c r="HK74" i="72"/>
  <c r="HK75" i="72"/>
  <c r="HK76" i="72"/>
  <c r="HK77" i="72"/>
  <c r="HK78" i="72"/>
  <c r="HK79" i="72"/>
  <c r="HK80" i="72"/>
  <c r="HK81" i="72"/>
  <c r="HK82" i="72"/>
  <c r="HK83" i="72"/>
  <c r="HK84" i="72"/>
  <c r="HK86" i="72"/>
  <c r="HK85" i="72"/>
  <c r="EA146" i="72"/>
  <c r="EC146" i="72" s="1"/>
  <c r="EC145" i="72"/>
  <c r="DW143" i="72"/>
  <c r="DS145" i="72"/>
  <c r="C70" i="55"/>
  <c r="E70" i="55" s="1"/>
  <c r="F70" i="55" s="1"/>
  <c r="AM70" i="55" s="1"/>
  <c r="AO70" i="55" s="1"/>
  <c r="F69" i="55"/>
  <c r="AM69" i="55" s="1"/>
  <c r="AN69" i="55" s="1"/>
  <c r="F73" i="64"/>
  <c r="DM121" i="72"/>
  <c r="DK122" i="72"/>
  <c r="DM122" i="72" s="1"/>
  <c r="DI119" i="72"/>
  <c r="DG120" i="72"/>
  <c r="DI120" i="72" s="1"/>
  <c r="DE117" i="72"/>
  <c r="DC118" i="72"/>
  <c r="DE118" i="72" s="1"/>
  <c r="DA117" i="72"/>
  <c r="CY118" i="72"/>
  <c r="DA118" i="72" s="1"/>
  <c r="S103" i="72"/>
  <c r="CU128" i="72"/>
  <c r="CW128" i="72" s="1"/>
  <c r="CU129" i="72" s="1"/>
  <c r="CW127" i="72"/>
  <c r="CG119" i="72"/>
  <c r="CE120" i="72"/>
  <c r="CG120" i="72" s="1"/>
  <c r="CE121" i="72" s="1"/>
  <c r="AQ115" i="72"/>
  <c r="AI115" i="72"/>
  <c r="C103" i="72"/>
  <c r="BY119" i="72"/>
  <c r="BW120" i="72"/>
  <c r="BY120" i="72" s="1"/>
  <c r="AA111" i="72"/>
  <c r="CO127" i="72"/>
  <c r="CM128" i="72"/>
  <c r="CO128" i="72" s="1"/>
  <c r="CM129" i="72" s="1"/>
  <c r="CQ126" i="72"/>
  <c r="CS126" i="72" s="1"/>
  <c r="CQ127" i="72" s="1"/>
  <c r="CS125" i="72"/>
  <c r="AE110" i="72"/>
  <c r="AG110" i="72" s="1"/>
  <c r="AG109" i="72"/>
  <c r="G104" i="72"/>
  <c r="I104" i="72" s="1"/>
  <c r="I103" i="72"/>
  <c r="CA120" i="72"/>
  <c r="CC120" i="72" s="1"/>
  <c r="CA121" i="72" s="1"/>
  <c r="CC119" i="72"/>
  <c r="CI122" i="72"/>
  <c r="CK122" i="72" s="1"/>
  <c r="CI123" i="72" s="1"/>
  <c r="CK121" i="72"/>
  <c r="K103" i="72"/>
  <c r="BS118" i="72"/>
  <c r="BU118" i="72" s="1"/>
  <c r="BU117" i="72"/>
  <c r="Y107" i="72"/>
  <c r="W108" i="72"/>
  <c r="Y108" i="72" s="1"/>
  <c r="AM116" i="72"/>
  <c r="AO116" i="72" s="1"/>
  <c r="AO115" i="72"/>
  <c r="Q107" i="72"/>
  <c r="O108" i="72"/>
  <c r="Q108" i="72" s="1"/>
  <c r="HW73" i="72" l="1"/>
  <c r="HW74" i="72"/>
  <c r="HW72" i="72"/>
  <c r="HW75" i="72"/>
  <c r="HW76" i="72"/>
  <c r="HW77" i="72"/>
  <c r="HW78" i="72"/>
  <c r="HW79" i="72"/>
  <c r="HW80" i="72"/>
  <c r="HW81" i="72"/>
  <c r="HW82" i="72"/>
  <c r="HW83" i="72"/>
  <c r="HW84" i="72"/>
  <c r="HW85" i="72"/>
  <c r="HW86" i="72"/>
  <c r="HW87" i="72"/>
  <c r="HW88" i="72"/>
  <c r="HW89" i="72"/>
  <c r="HW90" i="72"/>
  <c r="HW91" i="72"/>
  <c r="HW92" i="72"/>
  <c r="HS70" i="72"/>
  <c r="HS72" i="72"/>
  <c r="HS71" i="72"/>
  <c r="HS73" i="72"/>
  <c r="HS74" i="72"/>
  <c r="HS75" i="72"/>
  <c r="HS76" i="72"/>
  <c r="HS77" i="72"/>
  <c r="HS78" i="72"/>
  <c r="HS79" i="72"/>
  <c r="HS80" i="72"/>
  <c r="HS81" i="72"/>
  <c r="HS82" i="72"/>
  <c r="HS83" i="72"/>
  <c r="HS84" i="72"/>
  <c r="HS85" i="72"/>
  <c r="HS86" i="72"/>
  <c r="HS87" i="72"/>
  <c r="HS88" i="72"/>
  <c r="HS89" i="72"/>
  <c r="HS90" i="72"/>
  <c r="EA147" i="72"/>
  <c r="DY143" i="72"/>
  <c r="DW144" i="72"/>
  <c r="DY144" i="72" s="1"/>
  <c r="DS146" i="72"/>
  <c r="DU146" i="72" s="1"/>
  <c r="DU145" i="72"/>
  <c r="A72" i="64"/>
  <c r="DK123" i="72"/>
  <c r="DG121" i="72"/>
  <c r="DC119" i="72"/>
  <c r="CY119" i="72"/>
  <c r="AM117" i="72"/>
  <c r="BS119" i="72"/>
  <c r="CI124" i="72"/>
  <c r="CK124" i="72" s="1"/>
  <c r="CI125" i="72" s="1"/>
  <c r="CK123" i="72"/>
  <c r="G105" i="72"/>
  <c r="CS127" i="72"/>
  <c r="CQ128" i="72"/>
  <c r="CS128" i="72" s="1"/>
  <c r="CQ129" i="72" s="1"/>
  <c r="O109" i="72"/>
  <c r="W109" i="72"/>
  <c r="AC111" i="72"/>
  <c r="AA112" i="72"/>
  <c r="AC112" i="72" s="1"/>
  <c r="C104" i="72"/>
  <c r="E104" i="72" s="1"/>
  <c r="E103" i="72"/>
  <c r="AS115" i="72"/>
  <c r="AQ116" i="72"/>
  <c r="AS116" i="72" s="1"/>
  <c r="CW129" i="72"/>
  <c r="CU130" i="72"/>
  <c r="CW130" i="72" s="1"/>
  <c r="CU131" i="72" s="1"/>
  <c r="K104" i="72"/>
  <c r="M104" i="72" s="1"/>
  <c r="M103" i="72"/>
  <c r="CA122" i="72"/>
  <c r="CC122" i="72" s="1"/>
  <c r="CC121" i="72"/>
  <c r="AE111" i="72"/>
  <c r="CO129" i="72"/>
  <c r="CM130" i="72"/>
  <c r="CO130" i="72" s="1"/>
  <c r="CM131" i="72" s="1"/>
  <c r="BW121" i="72"/>
  <c r="CG121" i="72"/>
  <c r="CE122" i="72"/>
  <c r="CG122" i="72" s="1"/>
  <c r="AK115" i="72"/>
  <c r="AI116" i="72"/>
  <c r="AK116" i="72" s="1"/>
  <c r="U103" i="72"/>
  <c r="S104" i="72"/>
  <c r="U104" i="72" s="1"/>
  <c r="EA148" i="72" l="1"/>
  <c r="EC148" i="72" s="1"/>
  <c r="EC147" i="72"/>
  <c r="DW145" i="72"/>
  <c r="DS147" i="72"/>
  <c r="A146" i="65"/>
  <c r="A73" i="64"/>
  <c r="DM123" i="72"/>
  <c r="DK124" i="72"/>
  <c r="DM124" i="72" s="1"/>
  <c r="DI121" i="72"/>
  <c r="DG122" i="72"/>
  <c r="DI122" i="72" s="1"/>
  <c r="DE119" i="72"/>
  <c r="DC120" i="72"/>
  <c r="DE120" i="72" s="1"/>
  <c r="DA119" i="72"/>
  <c r="CY120" i="72"/>
  <c r="DA120" i="72" s="1"/>
  <c r="AI117" i="72"/>
  <c r="AQ117" i="72"/>
  <c r="AA113" i="72"/>
  <c r="BY121" i="72"/>
  <c r="BW122" i="72"/>
  <c r="BY122" i="72" s="1"/>
  <c r="AE112" i="72"/>
  <c r="AG112" i="72" s="1"/>
  <c r="AG111" i="72"/>
  <c r="K105" i="72"/>
  <c r="O110" i="72"/>
  <c r="Q110" i="72" s="1"/>
  <c r="Q109" i="72"/>
  <c r="G106" i="72"/>
  <c r="I106" i="72" s="1"/>
  <c r="I105" i="72"/>
  <c r="BS120" i="72"/>
  <c r="BU120" i="72" s="1"/>
  <c r="BU119" i="72"/>
  <c r="S105" i="72"/>
  <c r="CE123" i="72"/>
  <c r="CM132" i="72"/>
  <c r="CO132" i="72" s="1"/>
  <c r="CM133" i="72" s="1"/>
  <c r="CO131" i="72"/>
  <c r="CU132" i="72"/>
  <c r="CW132" i="72" s="1"/>
  <c r="CU133" i="72" s="1"/>
  <c r="CW131" i="72"/>
  <c r="CQ130" i="72"/>
  <c r="CS130" i="72" s="1"/>
  <c r="CQ131" i="72" s="1"/>
  <c r="CS129" i="72"/>
  <c r="CA123" i="72"/>
  <c r="C105" i="72"/>
  <c r="W110" i="72"/>
  <c r="Y110" i="72" s="1"/>
  <c r="Y109" i="72"/>
  <c r="CI126" i="72"/>
  <c r="CK126" i="72" s="1"/>
  <c r="CI127" i="72" s="1"/>
  <c r="CK125" i="72"/>
  <c r="AM118" i="72"/>
  <c r="AO118" i="72" s="1"/>
  <c r="AO117" i="72"/>
  <c r="EA149" i="72" l="1"/>
  <c r="DY145" i="72"/>
  <c r="DW146" i="72"/>
  <c r="DY146" i="72" s="1"/>
  <c r="DS148" i="72"/>
  <c r="DU148" i="72" s="1"/>
  <c r="DU147" i="72"/>
  <c r="DK125" i="72"/>
  <c r="DG123" i="72"/>
  <c r="DC121" i="72"/>
  <c r="CY121" i="72"/>
  <c r="BW123" i="72"/>
  <c r="CI128" i="72"/>
  <c r="CK128" i="72" s="1"/>
  <c r="CK127" i="72"/>
  <c r="E105" i="72"/>
  <c r="C106" i="72"/>
  <c r="E106" i="72" s="1"/>
  <c r="CS131" i="72"/>
  <c r="CQ132" i="72"/>
  <c r="CS132" i="72" s="1"/>
  <c r="CQ133" i="72" s="1"/>
  <c r="CO133" i="72"/>
  <c r="CM134" i="72"/>
  <c r="CO134" i="72" s="1"/>
  <c r="CM135" i="72" s="1"/>
  <c r="U105" i="72"/>
  <c r="S106" i="72"/>
  <c r="U106" i="72" s="1"/>
  <c r="G107" i="72"/>
  <c r="M105" i="72"/>
  <c r="K106" i="72"/>
  <c r="M106" i="72" s="1"/>
  <c r="AS117" i="72"/>
  <c r="AQ118" i="72"/>
  <c r="AS118" i="72" s="1"/>
  <c r="AM119" i="72"/>
  <c r="W111" i="72"/>
  <c r="CA124" i="72"/>
  <c r="CC124" i="72" s="1"/>
  <c r="CC123" i="72"/>
  <c r="CU134" i="72"/>
  <c r="CW134" i="72" s="1"/>
  <c r="CU135" i="72" s="1"/>
  <c r="CW133" i="72"/>
  <c r="CG123" i="72"/>
  <c r="CE124" i="72"/>
  <c r="CG124" i="72" s="1"/>
  <c r="BS121" i="72"/>
  <c r="O111" i="72"/>
  <c r="AE113" i="72"/>
  <c r="AC113" i="72"/>
  <c r="AA114" i="72"/>
  <c r="AC114" i="72" s="1"/>
  <c r="AK117" i="72"/>
  <c r="AI118" i="72"/>
  <c r="AK118" i="72" s="1"/>
  <c r="EA150" i="72" l="1"/>
  <c r="EC150" i="72" s="1"/>
  <c r="EC149" i="72"/>
  <c r="DW147" i="72"/>
  <c r="DS149" i="72"/>
  <c r="DM125" i="72"/>
  <c r="DK126" i="72"/>
  <c r="DM126" i="72" s="1"/>
  <c r="DI123" i="72"/>
  <c r="DG124" i="72"/>
  <c r="DI124" i="72" s="1"/>
  <c r="DE121" i="72"/>
  <c r="DC122" i="72"/>
  <c r="DE122" i="72" s="1"/>
  <c r="DA121" i="72"/>
  <c r="CY122" i="72"/>
  <c r="DA122" i="72" s="1"/>
  <c r="AA115" i="72"/>
  <c r="CE125" i="72"/>
  <c r="S107" i="72"/>
  <c r="Q111" i="72"/>
  <c r="O112" i="72"/>
  <c r="Q112" i="72" s="1"/>
  <c r="CA125" i="72"/>
  <c r="AM120" i="72"/>
  <c r="AO120" i="72" s="1"/>
  <c r="AO119" i="72"/>
  <c r="CI129" i="72"/>
  <c r="AI119" i="72"/>
  <c r="AQ119" i="72"/>
  <c r="CO135" i="72"/>
  <c r="CM136" i="72"/>
  <c r="CO136" i="72" s="1"/>
  <c r="C107" i="72"/>
  <c r="K107" i="72"/>
  <c r="CS133" i="72"/>
  <c r="CQ134" i="72"/>
  <c r="CS134" i="72" s="1"/>
  <c r="CQ135" i="72" s="1"/>
  <c r="AG113" i="72"/>
  <c r="AE114" i="72"/>
  <c r="AG114" i="72" s="1"/>
  <c r="BS122" i="72"/>
  <c r="BU122" i="72" s="1"/>
  <c r="BU121" i="72"/>
  <c r="CW135" i="72"/>
  <c r="CU136" i="72"/>
  <c r="CW136" i="72" s="1"/>
  <c r="CU137" i="72" s="1"/>
  <c r="Y111" i="72"/>
  <c r="W112" i="72"/>
  <c r="Y112" i="72" s="1"/>
  <c r="I107" i="72"/>
  <c r="G108" i="72"/>
  <c r="I108" i="72" s="1"/>
  <c r="BY123" i="72"/>
  <c r="BW124" i="72"/>
  <c r="BY124" i="72" s="1"/>
  <c r="EA151" i="72" l="1"/>
  <c r="DY147" i="72"/>
  <c r="DW148" i="72"/>
  <c r="DY148" i="72" s="1"/>
  <c r="DS150" i="72"/>
  <c r="DU150" i="72" s="1"/>
  <c r="DU149" i="72"/>
  <c r="DK127" i="72"/>
  <c r="DG125" i="72"/>
  <c r="DC123" i="72"/>
  <c r="CY123" i="72"/>
  <c r="CW137" i="72"/>
  <c r="CU138" i="72"/>
  <c r="CW138" i="72" s="1"/>
  <c r="CU139" i="72" s="1"/>
  <c r="AE115" i="72"/>
  <c r="O113" i="72"/>
  <c r="K108" i="72"/>
  <c r="M108" i="72" s="1"/>
  <c r="M107" i="72"/>
  <c r="AK119" i="72"/>
  <c r="AI120" i="72"/>
  <c r="AK120" i="72" s="1"/>
  <c r="AM121" i="72"/>
  <c r="CG125" i="72"/>
  <c r="CE126" i="72"/>
  <c r="CG126" i="72" s="1"/>
  <c r="BW125" i="72"/>
  <c r="W113" i="72"/>
  <c r="CQ136" i="72"/>
  <c r="CS136" i="72" s="1"/>
  <c r="CS135" i="72"/>
  <c r="G109" i="72"/>
  <c r="CM137" i="72"/>
  <c r="BS123" i="72"/>
  <c r="E107" i="72"/>
  <c r="C108" i="72"/>
  <c r="E108" i="72" s="1"/>
  <c r="AS119" i="72"/>
  <c r="AQ120" i="72"/>
  <c r="AS120" i="72" s="1"/>
  <c r="CK129" i="72"/>
  <c r="CI130" i="72"/>
  <c r="CK130" i="72" s="1"/>
  <c r="CA126" i="72"/>
  <c r="CC126" i="72" s="1"/>
  <c r="CC125" i="72"/>
  <c r="U107" i="72"/>
  <c r="S108" i="72"/>
  <c r="U108" i="72" s="1"/>
  <c r="AC115" i="72"/>
  <c r="AA116" i="72"/>
  <c r="AC116" i="72" s="1"/>
  <c r="EA152" i="72" l="1"/>
  <c r="EC152" i="72" s="1"/>
  <c r="EC151" i="72"/>
  <c r="DW149" i="72"/>
  <c r="DS151" i="72"/>
  <c r="DM127" i="72"/>
  <c r="DK128" i="72"/>
  <c r="DM128" i="72" s="1"/>
  <c r="DI125" i="72"/>
  <c r="DG126" i="72"/>
  <c r="DI126" i="72" s="1"/>
  <c r="DE123" i="72"/>
  <c r="DC124" i="72"/>
  <c r="DE124" i="72" s="1"/>
  <c r="DA123" i="72"/>
  <c r="CY124" i="72"/>
  <c r="DA124" i="72" s="1"/>
  <c r="BS124" i="72"/>
  <c r="BU124" i="72" s="1"/>
  <c r="BU123" i="72"/>
  <c r="CQ137" i="72"/>
  <c r="BY125" i="72"/>
  <c r="BW126" i="72"/>
  <c r="BY126" i="72" s="1"/>
  <c r="CE127" i="72"/>
  <c r="AI121" i="72"/>
  <c r="S109" i="72"/>
  <c r="CI131" i="72"/>
  <c r="C109" i="72"/>
  <c r="AE116" i="72"/>
  <c r="AG116" i="72" s="1"/>
  <c r="AG115" i="72"/>
  <c r="CO137" i="72"/>
  <c r="CM138" i="72"/>
  <c r="CO138" i="72" s="1"/>
  <c r="W114" i="72"/>
  <c r="Y114" i="72" s="1"/>
  <c r="Y113" i="72"/>
  <c r="CU140" i="72"/>
  <c r="CW140" i="72" s="1"/>
  <c r="CW139" i="72"/>
  <c r="CA127" i="72"/>
  <c r="G110" i="72"/>
  <c r="I110" i="72" s="1"/>
  <c r="I109" i="72"/>
  <c r="AA117" i="72"/>
  <c r="AQ121" i="72"/>
  <c r="AM122" i="72"/>
  <c r="AO122" i="72" s="1"/>
  <c r="AO121" i="72"/>
  <c r="K109" i="72"/>
  <c r="Q113" i="72"/>
  <c r="O114" i="72"/>
  <c r="Q114" i="72" s="1"/>
  <c r="DY149" i="72" l="1"/>
  <c r="DW150" i="72"/>
  <c r="DY150" i="72" s="1"/>
  <c r="DS152" i="72"/>
  <c r="DU152" i="72" s="1"/>
  <c r="DU151" i="72"/>
  <c r="DK129" i="72"/>
  <c r="DG127" i="72"/>
  <c r="DC125" i="72"/>
  <c r="CY125" i="72"/>
  <c r="E109" i="72"/>
  <c r="C110" i="72"/>
  <c r="E110" i="72" s="1"/>
  <c r="S110" i="72"/>
  <c r="U110" i="72" s="1"/>
  <c r="U109" i="72"/>
  <c r="CG127" i="72"/>
  <c r="CE128" i="72"/>
  <c r="CG128" i="72" s="1"/>
  <c r="CQ138" i="72"/>
  <c r="CS138" i="72" s="1"/>
  <c r="CS137" i="72"/>
  <c r="K110" i="72"/>
  <c r="M110" i="72" s="1"/>
  <c r="M109" i="72"/>
  <c r="AS121" i="72"/>
  <c r="AQ122" i="72"/>
  <c r="AS122" i="72" s="1"/>
  <c r="CA128" i="72"/>
  <c r="CC128" i="72" s="1"/>
  <c r="CC127" i="72"/>
  <c r="W115" i="72"/>
  <c r="BW127" i="72"/>
  <c r="O115" i="72"/>
  <c r="CM139" i="72"/>
  <c r="AE117" i="72"/>
  <c r="CK131" i="72"/>
  <c r="CI132" i="72"/>
  <c r="CK132" i="72" s="1"/>
  <c r="AK121" i="72"/>
  <c r="AI122" i="72"/>
  <c r="AK122" i="72" s="1"/>
  <c r="BS125" i="72"/>
  <c r="AM123" i="72"/>
  <c r="AC117" i="72"/>
  <c r="AA118" i="72"/>
  <c r="AC118" i="72" s="1"/>
  <c r="G111" i="72"/>
  <c r="CU141" i="72"/>
  <c r="DW151" i="72" l="1"/>
  <c r="DM129" i="72"/>
  <c r="DK130" i="72"/>
  <c r="DM130" i="72" s="1"/>
  <c r="DI127" i="72"/>
  <c r="DG128" i="72"/>
  <c r="DI128" i="72" s="1"/>
  <c r="DE125" i="72"/>
  <c r="DC126" i="72"/>
  <c r="DE126" i="72" s="1"/>
  <c r="DA125" i="72"/>
  <c r="CY126" i="72"/>
  <c r="DA126" i="72" s="1"/>
  <c r="G112" i="72"/>
  <c r="I112" i="72" s="1"/>
  <c r="I111" i="72"/>
  <c r="AI123" i="72"/>
  <c r="CE129" i="72"/>
  <c r="CW141" i="72"/>
  <c r="CU142" i="72"/>
  <c r="CW142" i="72" s="1"/>
  <c r="CI133" i="72"/>
  <c r="AQ123" i="72"/>
  <c r="BU125" i="72"/>
  <c r="BS126" i="72"/>
  <c r="BU126" i="72" s="1"/>
  <c r="CO139" i="72"/>
  <c r="CM140" i="72"/>
  <c r="CO140" i="72" s="1"/>
  <c r="Q115" i="72"/>
  <c r="O116" i="72"/>
  <c r="Q116" i="72" s="1"/>
  <c r="W116" i="72"/>
  <c r="Y116" i="72" s="1"/>
  <c r="Y115" i="72"/>
  <c r="CQ139" i="72"/>
  <c r="S111" i="72"/>
  <c r="AM124" i="72"/>
  <c r="AO124" i="72" s="1"/>
  <c r="AO123" i="72"/>
  <c r="C111" i="72"/>
  <c r="AA119" i="72"/>
  <c r="AE118" i="72"/>
  <c r="AG118" i="72" s="1"/>
  <c r="AG117" i="72"/>
  <c r="BY127" i="72"/>
  <c r="BW128" i="72"/>
  <c r="BY128" i="72" s="1"/>
  <c r="CA129" i="72"/>
  <c r="K111" i="72"/>
  <c r="DY151" i="72" l="1"/>
  <c r="DW152" i="72"/>
  <c r="DY152" i="72" s="1"/>
  <c r="DK131" i="72"/>
  <c r="DG129" i="72"/>
  <c r="DC127" i="72"/>
  <c r="CY127" i="72"/>
  <c r="AC119" i="72"/>
  <c r="AA120" i="72"/>
  <c r="AC120" i="72" s="1"/>
  <c r="CU143" i="72"/>
  <c r="AM125" i="72"/>
  <c r="CS139" i="72"/>
  <c r="CQ140" i="72"/>
  <c r="CS140" i="72" s="1"/>
  <c r="AK123" i="72"/>
  <c r="AI124" i="72"/>
  <c r="AK124" i="72" s="1"/>
  <c r="CA130" i="72"/>
  <c r="CC130" i="72" s="1"/>
  <c r="CC129" i="72"/>
  <c r="AE119" i="72"/>
  <c r="CM141" i="72"/>
  <c r="K112" i="72"/>
  <c r="M112" i="72" s="1"/>
  <c r="M111" i="72"/>
  <c r="O117" i="72"/>
  <c r="BS127" i="72"/>
  <c r="AS123" i="72"/>
  <c r="AQ124" i="72"/>
  <c r="AS124" i="72" s="1"/>
  <c r="BW129" i="72"/>
  <c r="C112" i="72"/>
  <c r="E112" i="72" s="1"/>
  <c r="E111" i="72"/>
  <c r="U111" i="72"/>
  <c r="S112" i="72"/>
  <c r="U112" i="72" s="1"/>
  <c r="W117" i="72"/>
  <c r="CI134" i="72"/>
  <c r="CK134" i="72" s="1"/>
  <c r="CK133" i="72"/>
  <c r="CG129" i="72"/>
  <c r="CE130" i="72"/>
  <c r="CG130" i="72" s="1"/>
  <c r="G113" i="72"/>
  <c r="DM131" i="72" l="1"/>
  <c r="DK132" i="72"/>
  <c r="DM132" i="72" s="1"/>
  <c r="DI129" i="72"/>
  <c r="DG130" i="72"/>
  <c r="DI130" i="72" s="1"/>
  <c r="DE127" i="72"/>
  <c r="DC128" i="72"/>
  <c r="DE128" i="72" s="1"/>
  <c r="DA127" i="72"/>
  <c r="CY128" i="72"/>
  <c r="DA128" i="72" s="1"/>
  <c r="C113" i="72"/>
  <c r="Q117" i="72"/>
  <c r="O118" i="72"/>
  <c r="Q118" i="72" s="1"/>
  <c r="AA121" i="72"/>
  <c r="G114" i="72"/>
  <c r="I114" i="72" s="1"/>
  <c r="I113" i="72"/>
  <c r="CI135" i="72"/>
  <c r="BW130" i="72"/>
  <c r="BY130" i="72" s="1"/>
  <c r="BY129" i="72"/>
  <c r="BS128" i="72"/>
  <c r="BU128" i="72" s="1"/>
  <c r="BU127" i="72"/>
  <c r="K113" i="72"/>
  <c r="AI125" i="72"/>
  <c r="CQ141" i="72"/>
  <c r="CE131" i="72"/>
  <c r="AQ125" i="72"/>
  <c r="AE120" i="72"/>
  <c r="AG120" i="72" s="1"/>
  <c r="AG119" i="72"/>
  <c r="CU144" i="72"/>
  <c r="CW144" i="72" s="1"/>
  <c r="CW143" i="72"/>
  <c r="W118" i="72"/>
  <c r="Y118" i="72" s="1"/>
  <c r="Y117" i="72"/>
  <c r="S113" i="72"/>
  <c r="CO141" i="72"/>
  <c r="CM142" i="72"/>
  <c r="CO142" i="72" s="1"/>
  <c r="CA131" i="72"/>
  <c r="AM126" i="72"/>
  <c r="AO126" i="72" s="1"/>
  <c r="AO125" i="72"/>
  <c r="DK133" i="72" l="1"/>
  <c r="DG131" i="72"/>
  <c r="DC129" i="72"/>
  <c r="CY129" i="72"/>
  <c r="AE121" i="72"/>
  <c r="CQ142" i="72"/>
  <c r="CS142" i="72" s="1"/>
  <c r="CS141" i="72"/>
  <c r="BW131" i="72"/>
  <c r="G115" i="72"/>
  <c r="CE132" i="72"/>
  <c r="CG132" i="72" s="1"/>
  <c r="CG131" i="72"/>
  <c r="CC131" i="72"/>
  <c r="CA132" i="72"/>
  <c r="CC132" i="72" s="1"/>
  <c r="U113" i="72"/>
  <c r="S114" i="72"/>
  <c r="U114" i="72" s="1"/>
  <c r="CU145" i="72"/>
  <c r="AK125" i="72"/>
  <c r="AI126" i="72"/>
  <c r="AK126" i="72" s="1"/>
  <c r="BS129" i="72"/>
  <c r="CI136" i="72"/>
  <c r="CK136" i="72" s="1"/>
  <c r="CK135" i="72"/>
  <c r="AM127" i="72"/>
  <c r="W119" i="72"/>
  <c r="M113" i="72"/>
  <c r="K114" i="72"/>
  <c r="M114" i="72" s="1"/>
  <c r="O119" i="72"/>
  <c r="CM143" i="72"/>
  <c r="AS125" i="72"/>
  <c r="AQ126" i="72"/>
  <c r="AS126" i="72" s="1"/>
  <c r="AC121" i="72"/>
  <c r="AA122" i="72"/>
  <c r="AC122" i="72" s="1"/>
  <c r="E113" i="72"/>
  <c r="C114" i="72"/>
  <c r="E114" i="72" s="1"/>
  <c r="DM133" i="72" l="1"/>
  <c r="DK134" i="72"/>
  <c r="DM134" i="72" s="1"/>
  <c r="DI131" i="72"/>
  <c r="DG132" i="72"/>
  <c r="DI132" i="72" s="1"/>
  <c r="DE129" i="72"/>
  <c r="DC130" i="72"/>
  <c r="DE130" i="72" s="1"/>
  <c r="DA129" i="72"/>
  <c r="CY130" i="72"/>
  <c r="DA130" i="72" s="1"/>
  <c r="AQ127" i="72"/>
  <c r="AA123" i="72"/>
  <c r="Q119" i="72"/>
  <c r="O120" i="72"/>
  <c r="Q120" i="72" s="1"/>
  <c r="W120" i="72"/>
  <c r="Y120" i="72" s="1"/>
  <c r="Y119" i="72"/>
  <c r="CI137" i="72"/>
  <c r="G116" i="72"/>
  <c r="I116" i="72" s="1"/>
  <c r="I115" i="72"/>
  <c r="CQ143" i="72"/>
  <c r="K115" i="72"/>
  <c r="CA133" i="72"/>
  <c r="CE133" i="72"/>
  <c r="C115" i="72"/>
  <c r="CO143" i="72"/>
  <c r="CM144" i="72"/>
  <c r="CO144" i="72" s="1"/>
  <c r="AM128" i="72"/>
  <c r="AO128" i="72" s="1"/>
  <c r="AO127" i="72"/>
  <c r="BU129" i="72"/>
  <c r="BS130" i="72"/>
  <c r="BU130" i="72" s="1"/>
  <c r="CW145" i="72"/>
  <c r="CU146" i="72"/>
  <c r="CW146" i="72" s="1"/>
  <c r="BY131" i="72"/>
  <c r="BW132" i="72"/>
  <c r="BY132" i="72" s="1"/>
  <c r="AE122" i="72"/>
  <c r="AG122" i="72" s="1"/>
  <c r="AG121" i="72"/>
  <c r="AI127" i="72"/>
  <c r="S115" i="72"/>
  <c r="DK135" i="72" l="1"/>
  <c r="DG133" i="72"/>
  <c r="DC131" i="72"/>
  <c r="CY131" i="72"/>
  <c r="BW133" i="72"/>
  <c r="U115" i="72"/>
  <c r="S116" i="72"/>
  <c r="U116" i="72" s="1"/>
  <c r="CU147" i="72"/>
  <c r="K116" i="72"/>
  <c r="M116" i="72" s="1"/>
  <c r="M115" i="72"/>
  <c r="AE123" i="72"/>
  <c r="AM129" i="72"/>
  <c r="E115" i="72"/>
  <c r="C116" i="72"/>
  <c r="E116" i="72" s="1"/>
  <c r="CA134" i="72"/>
  <c r="CC134" i="72" s="1"/>
  <c r="CC133" i="72"/>
  <c r="G117" i="72"/>
  <c r="W121" i="72"/>
  <c r="AC123" i="72"/>
  <c r="AA124" i="72"/>
  <c r="AC124" i="72" s="1"/>
  <c r="AK127" i="72"/>
  <c r="AI128" i="72"/>
  <c r="AK128" i="72" s="1"/>
  <c r="BS131" i="72"/>
  <c r="CM145" i="72"/>
  <c r="O121" i="72"/>
  <c r="CG133" i="72"/>
  <c r="CE134" i="72"/>
  <c r="CG134" i="72" s="1"/>
  <c r="CS143" i="72"/>
  <c r="CQ144" i="72"/>
  <c r="CS144" i="72" s="1"/>
  <c r="CI138" i="72"/>
  <c r="CK138" i="72" s="1"/>
  <c r="CK137" i="72"/>
  <c r="AS127" i="72"/>
  <c r="AQ128" i="72"/>
  <c r="AS128" i="72" s="1"/>
  <c r="DM135" i="72" l="1"/>
  <c r="DK136" i="72"/>
  <c r="DM136" i="72" s="1"/>
  <c r="DI133" i="72"/>
  <c r="DG134" i="72"/>
  <c r="DI134" i="72" s="1"/>
  <c r="DE131" i="72"/>
  <c r="DC132" i="72"/>
  <c r="DE132" i="72" s="1"/>
  <c r="DA131" i="72"/>
  <c r="CY132" i="72"/>
  <c r="DA132" i="72" s="1"/>
  <c r="C117" i="72"/>
  <c r="S117" i="72"/>
  <c r="CE135" i="72"/>
  <c r="Q121" i="72"/>
  <c r="O122" i="72"/>
  <c r="Q122" i="72" s="1"/>
  <c r="BU131" i="72"/>
  <c r="BS132" i="72"/>
  <c r="BU132" i="72" s="1"/>
  <c r="G118" i="72"/>
  <c r="I118" i="72" s="1"/>
  <c r="I117" i="72"/>
  <c r="K117" i="72"/>
  <c r="AQ129" i="72"/>
  <c r="CI139" i="72"/>
  <c r="AI129" i="72"/>
  <c r="AE124" i="72"/>
  <c r="AG124" i="72" s="1"/>
  <c r="AG123" i="72"/>
  <c r="AA125" i="72"/>
  <c r="CQ145" i="72"/>
  <c r="CO145" i="72"/>
  <c r="CM146" i="72"/>
  <c r="CO146" i="72" s="1"/>
  <c r="W122" i="72"/>
  <c r="Y122" i="72" s="1"/>
  <c r="Y121" i="72"/>
  <c r="CA135" i="72"/>
  <c r="AM130" i="72"/>
  <c r="AO130" i="72" s="1"/>
  <c r="AO129" i="72"/>
  <c r="CU148" i="72"/>
  <c r="CW148" i="72" s="1"/>
  <c r="CW147" i="72"/>
  <c r="BY133" i="72"/>
  <c r="BW134" i="72"/>
  <c r="BY134" i="72" s="1"/>
  <c r="DK137" i="72" l="1"/>
  <c r="DG135" i="72"/>
  <c r="DC133" i="72"/>
  <c r="CY133" i="72"/>
  <c r="BW135" i="72"/>
  <c r="AM131" i="72"/>
  <c r="CM147" i="72"/>
  <c r="AE125" i="72"/>
  <c r="BS133" i="72"/>
  <c r="CA136" i="72"/>
  <c r="CC136" i="72" s="1"/>
  <c r="CC135" i="72"/>
  <c r="AC125" i="72"/>
  <c r="AA126" i="72"/>
  <c r="AC126" i="72" s="1"/>
  <c r="CI140" i="72"/>
  <c r="CK140" i="72" s="1"/>
  <c r="CK139" i="72"/>
  <c r="K118" i="72"/>
  <c r="M118" i="72" s="1"/>
  <c r="M117" i="72"/>
  <c r="CG135" i="72"/>
  <c r="CE136" i="72"/>
  <c r="CG136" i="72" s="1"/>
  <c r="E117" i="72"/>
  <c r="C118" i="72"/>
  <c r="E118" i="72" s="1"/>
  <c r="AK129" i="72"/>
  <c r="AI130" i="72"/>
  <c r="AK130" i="72" s="1"/>
  <c r="O123" i="72"/>
  <c r="W123" i="72"/>
  <c r="CQ146" i="72"/>
  <c r="CS146" i="72" s="1"/>
  <c r="CS145" i="72"/>
  <c r="AS129" i="72"/>
  <c r="AQ130" i="72"/>
  <c r="AS130" i="72" s="1"/>
  <c r="G119" i="72"/>
  <c r="U117" i="72"/>
  <c r="S118" i="72"/>
  <c r="U118" i="72" s="1"/>
  <c r="DM137" i="72" l="1"/>
  <c r="DK138" i="72"/>
  <c r="DM138" i="72" s="1"/>
  <c r="DI135" i="72"/>
  <c r="DG136" i="72"/>
  <c r="DI136" i="72" s="1"/>
  <c r="DE133" i="72"/>
  <c r="DC134" i="72"/>
  <c r="DE134" i="72" s="1"/>
  <c r="DA133" i="72"/>
  <c r="CY134" i="72"/>
  <c r="DA134" i="72" s="1"/>
  <c r="AI131" i="72"/>
  <c r="CE137" i="72"/>
  <c r="AO131" i="72"/>
  <c r="AM132" i="72"/>
  <c r="AO132" i="72" s="1"/>
  <c r="W124" i="72"/>
  <c r="Y124" i="72" s="1"/>
  <c r="Y123" i="72"/>
  <c r="BS134" i="72"/>
  <c r="BU134" i="72" s="1"/>
  <c r="BU133" i="72"/>
  <c r="CO147" i="72"/>
  <c r="CM148" i="72"/>
  <c r="CO148" i="72" s="1"/>
  <c r="C119" i="72"/>
  <c r="AA127" i="72"/>
  <c r="CA137" i="72"/>
  <c r="AQ131" i="72"/>
  <c r="S119" i="72"/>
  <c r="G120" i="72"/>
  <c r="I120" i="72" s="1"/>
  <c r="I119" i="72"/>
  <c r="CQ147" i="72"/>
  <c r="Q123" i="72"/>
  <c r="O124" i="72"/>
  <c r="Q124" i="72" s="1"/>
  <c r="K119" i="72"/>
  <c r="AG125" i="72"/>
  <c r="AE126" i="72"/>
  <c r="AG126" i="72" s="1"/>
  <c r="BY135" i="72"/>
  <c r="BW136" i="72"/>
  <c r="BY136" i="72" s="1"/>
  <c r="DK139" i="72" l="1"/>
  <c r="DG137" i="72"/>
  <c r="DC135" i="72"/>
  <c r="CY135" i="72"/>
  <c r="BW137" i="72"/>
  <c r="K120" i="72"/>
  <c r="M120" i="72" s="1"/>
  <c r="M119" i="72"/>
  <c r="CS147" i="72"/>
  <c r="CQ148" i="72"/>
  <c r="CS148" i="72" s="1"/>
  <c r="U119" i="72"/>
  <c r="S120" i="72"/>
  <c r="U120" i="72" s="1"/>
  <c r="CA138" i="72"/>
  <c r="CC138" i="72" s="1"/>
  <c r="CC137" i="72"/>
  <c r="E119" i="72"/>
  <c r="C120" i="72"/>
  <c r="E120" i="72" s="1"/>
  <c r="W125" i="72"/>
  <c r="AE127" i="72"/>
  <c r="O125" i="72"/>
  <c r="AM133" i="72"/>
  <c r="CG137" i="72"/>
  <c r="CE138" i="72"/>
  <c r="CG138" i="72" s="1"/>
  <c r="G121" i="72"/>
  <c r="AS131" i="72"/>
  <c r="AQ132" i="72"/>
  <c r="AS132" i="72" s="1"/>
  <c r="AC127" i="72"/>
  <c r="AA128" i="72"/>
  <c r="AC128" i="72" s="1"/>
  <c r="BS135" i="72"/>
  <c r="AK131" i="72"/>
  <c r="AI132" i="72"/>
  <c r="AK132" i="72" s="1"/>
  <c r="DM139" i="72" l="1"/>
  <c r="DK140" i="72"/>
  <c r="DM140" i="72" s="1"/>
  <c r="DI137" i="72"/>
  <c r="DG138" i="72"/>
  <c r="DI138" i="72" s="1"/>
  <c r="DE135" i="72"/>
  <c r="DC136" i="72"/>
  <c r="DE136" i="72" s="1"/>
  <c r="DA135" i="72"/>
  <c r="CY136" i="72"/>
  <c r="DA136" i="72" s="1"/>
  <c r="AE128" i="72"/>
  <c r="AG128" i="72" s="1"/>
  <c r="AG127" i="72"/>
  <c r="C121" i="72"/>
  <c r="S121" i="72"/>
  <c r="AA129" i="72"/>
  <c r="K121" i="72"/>
  <c r="G122" i="72"/>
  <c r="I122" i="72" s="1"/>
  <c r="I121" i="72"/>
  <c r="Q125" i="72"/>
  <c r="O126" i="72"/>
  <c r="Q126" i="72" s="1"/>
  <c r="W126" i="72"/>
  <c r="Y126" i="72" s="1"/>
  <c r="Y125" i="72"/>
  <c r="AI133" i="72"/>
  <c r="BU135" i="72"/>
  <c r="BS136" i="72"/>
  <c r="BU136" i="72" s="1"/>
  <c r="AQ133" i="72"/>
  <c r="AO133" i="72"/>
  <c r="AM134" i="72"/>
  <c r="AO134" i="72" s="1"/>
  <c r="BY137" i="72"/>
  <c r="BW138" i="72"/>
  <c r="BY138" i="72" s="1"/>
  <c r="DK141" i="72" l="1"/>
  <c r="DG139" i="72"/>
  <c r="DC137" i="72"/>
  <c r="CY137" i="72"/>
  <c r="W127" i="72"/>
  <c r="O127" i="72"/>
  <c r="AQ134" i="72"/>
  <c r="AS134" i="72" s="1"/>
  <c r="AQ135" i="72" s="1"/>
  <c r="AS133" i="72"/>
  <c r="AK133" i="72"/>
  <c r="AI134" i="72"/>
  <c r="AK134" i="72" s="1"/>
  <c r="K122" i="72"/>
  <c r="M122" i="72" s="1"/>
  <c r="M121" i="72"/>
  <c r="AC129" i="72"/>
  <c r="AA130" i="72"/>
  <c r="AC130" i="72" s="1"/>
  <c r="E121" i="72"/>
  <c r="C122" i="72"/>
  <c r="E122" i="72" s="1"/>
  <c r="AM135" i="72"/>
  <c r="G123" i="72"/>
  <c r="U121" i="72"/>
  <c r="S122" i="72"/>
  <c r="U122" i="72" s="1"/>
  <c r="AE129" i="72"/>
  <c r="DM141" i="72" l="1"/>
  <c r="DK142" i="72"/>
  <c r="DM142" i="72" s="1"/>
  <c r="DI139" i="72"/>
  <c r="DG140" i="72"/>
  <c r="DI140" i="72" s="1"/>
  <c r="DE137" i="72"/>
  <c r="DC138" i="72"/>
  <c r="DE138" i="72" s="1"/>
  <c r="DA137" i="72"/>
  <c r="CY138" i="72"/>
  <c r="DA138" i="72" s="1"/>
  <c r="S123" i="72"/>
  <c r="K123" i="72"/>
  <c r="AA131" i="72"/>
  <c r="W128" i="72"/>
  <c r="Y128" i="72" s="1"/>
  <c r="Y127" i="72"/>
  <c r="AM136" i="72"/>
  <c r="AO136" i="72" s="1"/>
  <c r="AO135" i="72"/>
  <c r="AI135" i="72"/>
  <c r="AE130" i="72"/>
  <c r="AG130" i="72" s="1"/>
  <c r="AG129" i="72"/>
  <c r="G124" i="72"/>
  <c r="I124" i="72" s="1"/>
  <c r="I123" i="72"/>
  <c r="C123" i="72"/>
  <c r="Q127" i="72"/>
  <c r="O128" i="72"/>
  <c r="Q128" i="72" s="1"/>
  <c r="DK143" i="72" l="1"/>
  <c r="DG141" i="72"/>
  <c r="DC139" i="72"/>
  <c r="CY139" i="72"/>
  <c r="G125" i="72"/>
  <c r="AS135" i="72"/>
  <c r="AQ136" i="72"/>
  <c r="AS136" i="72" s="1"/>
  <c r="K124" i="72"/>
  <c r="M124" i="72" s="1"/>
  <c r="M123" i="72"/>
  <c r="O129" i="72"/>
  <c r="AI136" i="72"/>
  <c r="AK136" i="72" s="1"/>
  <c r="AK135" i="72"/>
  <c r="E123" i="72"/>
  <c r="C124" i="72"/>
  <c r="E124" i="72" s="1"/>
  <c r="AE131" i="72"/>
  <c r="W129" i="72"/>
  <c r="AC131" i="72"/>
  <c r="AA132" i="72"/>
  <c r="AC132" i="72" s="1"/>
  <c r="U123" i="72"/>
  <c r="S124" i="72"/>
  <c r="U124" i="72" s="1"/>
  <c r="DM143" i="72" l="1"/>
  <c r="DK144" i="72"/>
  <c r="DM144" i="72" s="1"/>
  <c r="DI141" i="72"/>
  <c r="DG142" i="72"/>
  <c r="DI142" i="72" s="1"/>
  <c r="DE139" i="72"/>
  <c r="DC140" i="72"/>
  <c r="DE140" i="72" s="1"/>
  <c r="DA139" i="72"/>
  <c r="CY140" i="72"/>
  <c r="DA140" i="72" s="1"/>
  <c r="W130" i="72"/>
  <c r="Y130" i="72" s="1"/>
  <c r="Y129" i="72"/>
  <c r="AA133" i="72"/>
  <c r="AE132" i="72"/>
  <c r="AG132" i="72" s="1"/>
  <c r="AG131" i="72"/>
  <c r="K125" i="72"/>
  <c r="G126" i="72"/>
  <c r="I126" i="72" s="1"/>
  <c r="I125" i="72"/>
  <c r="S125" i="72"/>
  <c r="C125" i="72"/>
  <c r="Q129" i="72"/>
  <c r="O130" i="72"/>
  <c r="Q130" i="72" s="1"/>
  <c r="DK145" i="72" l="1"/>
  <c r="DG143" i="72"/>
  <c r="DC141" i="72"/>
  <c r="CY141" i="72"/>
  <c r="W131" i="72"/>
  <c r="U125" i="72"/>
  <c r="S126" i="72"/>
  <c r="U126" i="72" s="1"/>
  <c r="K126" i="72"/>
  <c r="M126" i="72" s="1"/>
  <c r="M125" i="72"/>
  <c r="AA134" i="72"/>
  <c r="AC134" i="72" s="1"/>
  <c r="AC133" i="72"/>
  <c r="O131" i="72"/>
  <c r="E125" i="72"/>
  <c r="C126" i="72"/>
  <c r="E126" i="72" s="1"/>
  <c r="G127" i="72"/>
  <c r="AE133" i="72"/>
  <c r="DM145" i="72" l="1"/>
  <c r="DK146" i="72"/>
  <c r="DM146" i="72" s="1"/>
  <c r="DI143" i="72"/>
  <c r="DG144" i="72"/>
  <c r="DI144" i="72" s="1"/>
  <c r="DE141" i="72"/>
  <c r="DC142" i="72"/>
  <c r="DE142" i="72" s="1"/>
  <c r="DA141" i="72"/>
  <c r="CY142" i="72"/>
  <c r="DA142" i="72" s="1"/>
  <c r="AE134" i="72"/>
  <c r="AG134" i="72" s="1"/>
  <c r="AG133" i="72"/>
  <c r="S127" i="72"/>
  <c r="I127" i="72"/>
  <c r="G128" i="72"/>
  <c r="I128" i="72" s="1"/>
  <c r="Q131" i="72"/>
  <c r="O132" i="72"/>
  <c r="Q132" i="72" s="1"/>
  <c r="C127" i="72"/>
  <c r="K127" i="72"/>
  <c r="Y131" i="72"/>
  <c r="W132" i="72"/>
  <c r="Y132" i="72" s="1"/>
  <c r="DK147" i="72" l="1"/>
  <c r="DG145" i="72"/>
  <c r="DC143" i="72"/>
  <c r="CY143" i="72"/>
  <c r="K128" i="72"/>
  <c r="M128" i="72" s="1"/>
  <c r="M127" i="72"/>
  <c r="W133" i="72"/>
  <c r="G129" i="72"/>
  <c r="C128" i="72"/>
  <c r="E128" i="72" s="1"/>
  <c r="E127" i="72"/>
  <c r="U127" i="72"/>
  <c r="S128" i="72"/>
  <c r="U128" i="72" s="1"/>
  <c r="O133" i="72"/>
  <c r="DM147" i="72" l="1"/>
  <c r="DK148" i="72"/>
  <c r="DM148" i="72" s="1"/>
  <c r="DI145" i="72"/>
  <c r="DG146" i="72"/>
  <c r="DI146" i="72" s="1"/>
  <c r="DE143" i="72"/>
  <c r="DC144" i="72"/>
  <c r="DE144" i="72" s="1"/>
  <c r="DA143" i="72"/>
  <c r="CY144" i="72"/>
  <c r="DA144" i="72" s="1"/>
  <c r="Q133" i="72"/>
  <c r="O134" i="72"/>
  <c r="Q134" i="72" s="1"/>
  <c r="K129" i="72"/>
  <c r="S129" i="72"/>
  <c r="C129" i="72"/>
  <c r="W134" i="72"/>
  <c r="Y134" i="72" s="1"/>
  <c r="Y133" i="72"/>
  <c r="G130" i="72"/>
  <c r="I130" i="72" s="1"/>
  <c r="I129" i="72"/>
  <c r="L129" i="72"/>
  <c r="L130" i="72" s="1"/>
  <c r="DK149" i="72" l="1"/>
  <c r="DG147" i="72"/>
  <c r="DC145" i="72"/>
  <c r="CY145" i="72"/>
  <c r="E129" i="72"/>
  <c r="C130" i="72"/>
  <c r="E130" i="72" s="1"/>
  <c r="M129" i="72"/>
  <c r="K130" i="72"/>
  <c r="M130" i="72" s="1"/>
  <c r="G131" i="72"/>
  <c r="U129" i="72"/>
  <c r="S130" i="72"/>
  <c r="U130" i="72" s="1"/>
  <c r="DM149" i="72" l="1"/>
  <c r="DK150" i="72"/>
  <c r="DM150" i="72" s="1"/>
  <c r="DI147" i="72"/>
  <c r="DG148" i="72"/>
  <c r="DI148" i="72" s="1"/>
  <c r="DE145" i="72"/>
  <c r="DC146" i="72"/>
  <c r="DE146" i="72" s="1"/>
  <c r="DA145" i="72"/>
  <c r="CY146" i="72"/>
  <c r="DA146" i="72" s="1"/>
  <c r="I131" i="72"/>
  <c r="G132" i="72"/>
  <c r="I132" i="72" s="1"/>
  <c r="C131" i="72"/>
  <c r="S131" i="72"/>
  <c r="DG149" i="72" l="1"/>
  <c r="DC147" i="72"/>
  <c r="CY147" i="72"/>
  <c r="U131" i="72"/>
  <c r="S132" i="72"/>
  <c r="U132" i="72" s="1"/>
  <c r="E131" i="72"/>
  <c r="C132" i="72"/>
  <c r="E132" i="72" s="1"/>
  <c r="DI149" i="72" l="1"/>
  <c r="DG150" i="72"/>
  <c r="DI150" i="72" s="1"/>
  <c r="DE147" i="72"/>
  <c r="DC148" i="72"/>
  <c r="DE148" i="72" s="1"/>
  <c r="DA147" i="72"/>
  <c r="CY148" i="72"/>
  <c r="DA148" i="72" s="1"/>
  <c r="DC149" i="72" l="1"/>
  <c r="CY149" i="72"/>
  <c r="DE149" i="72" l="1"/>
  <c r="DC150" i="72"/>
  <c r="DE150" i="72" s="1"/>
  <c r="DA149" i="72"/>
  <c r="CY150" i="72"/>
  <c r="DA150" i="72" s="1"/>
  <c r="IL305" i="48" l="1"/>
  <c r="F210" i="93" l="1"/>
  <c r="F217" i="93" s="1"/>
  <c r="F223" i="93" s="1"/>
  <c r="E223" i="93" l="1"/>
  <c r="F14" i="93"/>
  <c r="F258" i="93"/>
  <c r="E217" i="93" l="1"/>
  <c r="F260" i="93"/>
  <c r="E258" i="93"/>
  <c r="E260" i="93" s="1"/>
  <c r="F17" i="93"/>
  <c r="E14" i="93"/>
  <c r="E17" i="93" l="1"/>
  <c r="R131" i="92"/>
  <c r="R133" i="92" s="1"/>
  <c r="R135" i="92" s="1"/>
  <c r="R137" i="92" s="1"/>
  <c r="H81" i="48" s="1"/>
  <c r="H83" i="48" l="1"/>
  <c r="H90" i="48" s="1"/>
  <c r="H119" i="48" s="1"/>
  <c r="H121" i="48" s="1"/>
  <c r="H261" i="48" l="1"/>
  <c r="H226" i="48"/>
  <c r="I16" i="54"/>
  <c r="I57" i="54" s="1"/>
  <c r="H262" i="48"/>
  <c r="F196" i="65" l="1"/>
  <c r="G196" i="65" s="1"/>
  <c r="H196" i="65" s="1"/>
  <c r="I84" i="54"/>
  <c r="I86" i="54" s="1"/>
  <c r="I9" i="54" s="1"/>
  <c r="H296" i="48" s="1"/>
  <c r="H253" i="48"/>
  <c r="H255" i="48" s="1"/>
  <c r="H268" i="48" s="1"/>
  <c r="H267" i="48"/>
  <c r="H270" i="48" l="1"/>
  <c r="F195" i="65"/>
  <c r="H277" i="48" l="1"/>
  <c r="H278" i="48" s="1"/>
  <c r="H284" i="48" s="1"/>
  <c r="H295" i="48" s="1"/>
  <c r="H297" i="48" s="1"/>
  <c r="H300" i="48" s="1"/>
  <c r="L12" i="72" s="1"/>
  <c r="G195" i="65"/>
  <c r="H195" i="65" s="1"/>
  <c r="F197" i="65"/>
  <c r="G197" i="65" s="1"/>
  <c r="H302" i="48" l="1"/>
  <c r="H287" i="48"/>
  <c r="H299" i="48"/>
  <c r="IC28" i="72"/>
  <c r="H197" i="65"/>
  <c r="C29" i="72"/>
  <c r="H290" i="48" l="1"/>
  <c r="L11" i="72" s="1"/>
  <c r="H291" i="48"/>
  <c r="L17" i="72" s="1"/>
  <c r="H289" i="48"/>
  <c r="IC29" i="72"/>
  <c r="IF62" i="72" s="1"/>
  <c r="IF61" i="72"/>
  <c r="F106" i="72"/>
  <c r="F114" i="72"/>
  <c r="F120" i="72"/>
  <c r="F96" i="72"/>
  <c r="F104" i="72"/>
  <c r="F90" i="72"/>
  <c r="G29" i="72"/>
  <c r="F64" i="72"/>
  <c r="F102" i="72"/>
  <c r="F52" i="72"/>
  <c r="F84" i="72"/>
  <c r="F110" i="72"/>
  <c r="F122" i="72"/>
  <c r="F132" i="72"/>
  <c r="F78" i="72"/>
  <c r="F46" i="72"/>
  <c r="F124" i="72"/>
  <c r="F98" i="72"/>
  <c r="F82" i="72"/>
  <c r="F116" i="72"/>
  <c r="F60" i="72"/>
  <c r="F112" i="72"/>
  <c r="F92" i="72"/>
  <c r="F58" i="72"/>
  <c r="F74" i="72"/>
  <c r="F56" i="72"/>
  <c r="F108" i="72"/>
  <c r="F88" i="72"/>
  <c r="F68" i="72"/>
  <c r="F50" i="72"/>
  <c r="F80" i="72"/>
  <c r="F54" i="72"/>
  <c r="F48" i="72"/>
  <c r="F70" i="72"/>
  <c r="F76" i="72"/>
  <c r="F72" i="72"/>
  <c r="F62" i="72"/>
  <c r="F66" i="72"/>
  <c r="F100" i="72"/>
  <c r="F126" i="72"/>
  <c r="F86" i="72"/>
  <c r="F94" i="72"/>
  <c r="F128" i="72"/>
  <c r="F118" i="72"/>
  <c r="F130" i="72"/>
  <c r="F44" i="72"/>
  <c r="C28" i="72" l="1"/>
  <c r="L13" i="72"/>
  <c r="J44" i="72"/>
  <c r="J58" i="72"/>
  <c r="J72" i="72"/>
  <c r="J92" i="72"/>
  <c r="J80" i="72"/>
  <c r="J104" i="72"/>
  <c r="J118" i="72"/>
  <c r="J102" i="72"/>
  <c r="J78" i="72"/>
  <c r="J98" i="72"/>
  <c r="J110" i="72"/>
  <c r="J126" i="72"/>
  <c r="J50" i="72"/>
  <c r="J46" i="72"/>
  <c r="J64" i="72"/>
  <c r="J52" i="72"/>
  <c r="J68" i="72"/>
  <c r="J82" i="72"/>
  <c r="J106" i="72"/>
  <c r="J84" i="72"/>
  <c r="J116" i="72"/>
  <c r="J132" i="72"/>
  <c r="J94" i="72"/>
  <c r="J48" i="72"/>
  <c r="J124" i="72"/>
  <c r="J66" i="72"/>
  <c r="J128" i="72"/>
  <c r="J100" i="72"/>
  <c r="K29" i="72"/>
  <c r="J60" i="72"/>
  <c r="J120" i="72"/>
  <c r="J76" i="72"/>
  <c r="J88" i="72"/>
  <c r="J130" i="72"/>
  <c r="J122" i="72"/>
  <c r="J114" i="72"/>
  <c r="J56" i="72"/>
  <c r="J112" i="72"/>
  <c r="J108" i="72"/>
  <c r="J74" i="72"/>
  <c r="J62" i="72"/>
  <c r="J90" i="72"/>
  <c r="J54" i="72"/>
  <c r="J70" i="72"/>
  <c r="J96" i="72"/>
  <c r="J86" i="72"/>
  <c r="F87" i="72" l="1"/>
  <c r="F77" i="72"/>
  <c r="F57" i="72"/>
  <c r="F73" i="72"/>
  <c r="F43" i="72"/>
  <c r="F117" i="72"/>
  <c r="F95" i="72"/>
  <c r="F65" i="72"/>
  <c r="F59" i="72"/>
  <c r="F105" i="72"/>
  <c r="F115" i="72"/>
  <c r="F51" i="72"/>
  <c r="F127" i="72"/>
  <c r="F85" i="72"/>
  <c r="F121" i="72"/>
  <c r="F63" i="72"/>
  <c r="G28" i="72"/>
  <c r="F97" i="72"/>
  <c r="F49" i="72"/>
  <c r="F129" i="72"/>
  <c r="F125" i="72"/>
  <c r="F107" i="72"/>
  <c r="F45" i="72"/>
  <c r="F123" i="72"/>
  <c r="F69" i="72"/>
  <c r="F83" i="72"/>
  <c r="F89" i="72"/>
  <c r="F111" i="72"/>
  <c r="F99" i="72"/>
  <c r="F79" i="72"/>
  <c r="F75" i="72"/>
  <c r="F47" i="72"/>
  <c r="F91" i="72"/>
  <c r="F103" i="72"/>
  <c r="F67" i="72"/>
  <c r="F71" i="72"/>
  <c r="F55" i="72"/>
  <c r="F131" i="72"/>
  <c r="F113" i="72"/>
  <c r="F119" i="72"/>
  <c r="F101" i="72"/>
  <c r="F93" i="72"/>
  <c r="F61" i="72"/>
  <c r="F109" i="72"/>
  <c r="F81" i="72"/>
  <c r="F53" i="72"/>
  <c r="N42" i="72"/>
  <c r="EY42" i="72" s="1"/>
  <c r="EZ42" i="72" s="1"/>
  <c r="N50" i="72"/>
  <c r="N46" i="72"/>
  <c r="N126" i="72"/>
  <c r="N110" i="72"/>
  <c r="N102" i="72"/>
  <c r="N130" i="72"/>
  <c r="N114" i="72"/>
  <c r="N118" i="72"/>
  <c r="N48" i="72"/>
  <c r="N124" i="72"/>
  <c r="N94" i="72"/>
  <c r="N122" i="72"/>
  <c r="N58" i="72"/>
  <c r="N96" i="72"/>
  <c r="N60" i="72"/>
  <c r="N74" i="72"/>
  <c r="O29" i="72"/>
  <c r="N92" i="72"/>
  <c r="N64" i="72"/>
  <c r="N88" i="72"/>
  <c r="N84" i="72"/>
  <c r="N98" i="72"/>
  <c r="N54" i="72"/>
  <c r="N90" i="72"/>
  <c r="N56" i="72"/>
  <c r="N112" i="72"/>
  <c r="N106" i="72"/>
  <c r="N128" i="72"/>
  <c r="N120" i="72"/>
  <c r="N104" i="72"/>
  <c r="N86" i="72"/>
  <c r="N80" i="72"/>
  <c r="N52" i="72"/>
  <c r="N76" i="72"/>
  <c r="N82" i="72"/>
  <c r="N68" i="72"/>
  <c r="N100" i="72"/>
  <c r="N72" i="72"/>
  <c r="N116" i="72"/>
  <c r="N78" i="72"/>
  <c r="N70" i="72"/>
  <c r="N108" i="72"/>
  <c r="N44" i="72"/>
  <c r="N62" i="72"/>
  <c r="N66" i="72"/>
  <c r="J43" i="72" l="1"/>
  <c r="J111" i="72"/>
  <c r="J75" i="72"/>
  <c r="J63" i="72"/>
  <c r="J109" i="72"/>
  <c r="J53" i="72"/>
  <c r="J65" i="72"/>
  <c r="J119" i="72"/>
  <c r="J107" i="72"/>
  <c r="J79" i="72"/>
  <c r="J131" i="72"/>
  <c r="J55" i="72"/>
  <c r="J117" i="72"/>
  <c r="J101" i="72"/>
  <c r="J51" i="72"/>
  <c r="J91" i="72"/>
  <c r="J61" i="72"/>
  <c r="J89" i="72"/>
  <c r="J57" i="72"/>
  <c r="J115" i="72"/>
  <c r="J47" i="72"/>
  <c r="J125" i="72"/>
  <c r="K28" i="72"/>
  <c r="J87" i="72"/>
  <c r="J67" i="72"/>
  <c r="J105" i="72"/>
  <c r="J123" i="72"/>
  <c r="J95" i="72"/>
  <c r="J85" i="72"/>
  <c r="J121" i="72"/>
  <c r="J69" i="72"/>
  <c r="J73" i="72"/>
  <c r="J59" i="72"/>
  <c r="J127" i="72"/>
  <c r="J83" i="72"/>
  <c r="J103" i="72"/>
  <c r="J113" i="72"/>
  <c r="J129" i="72"/>
  <c r="J97" i="72"/>
  <c r="J81" i="72"/>
  <c r="J99" i="72"/>
  <c r="J45" i="72"/>
  <c r="J49" i="72"/>
  <c r="J71" i="72"/>
  <c r="J93" i="72"/>
  <c r="J77" i="72"/>
  <c r="R120" i="72"/>
  <c r="R118" i="72"/>
  <c r="R104" i="72"/>
  <c r="R100" i="72"/>
  <c r="R80" i="72"/>
  <c r="R106" i="72"/>
  <c r="R114" i="72"/>
  <c r="R86" i="72"/>
  <c r="R74" i="72"/>
  <c r="R132" i="72"/>
  <c r="R128" i="72"/>
  <c r="R96" i="72"/>
  <c r="R82" i="72"/>
  <c r="R126" i="72"/>
  <c r="R94" i="72"/>
  <c r="R76" i="72"/>
  <c r="R90" i="72"/>
  <c r="R124" i="72"/>
  <c r="R92" i="72"/>
  <c r="R64" i="72"/>
  <c r="R68" i="72"/>
  <c r="R70" i="72"/>
  <c r="R122" i="72"/>
  <c r="R72" i="72"/>
  <c r="R116" i="72"/>
  <c r="R98" i="72"/>
  <c r="R78" i="72"/>
  <c r="R66" i="72"/>
  <c r="R102" i="72"/>
  <c r="R112" i="72"/>
  <c r="R88" i="72"/>
  <c r="R110" i="72"/>
  <c r="R84" i="72"/>
  <c r="R134" i="72"/>
  <c r="R130" i="72"/>
  <c r="R108" i="72"/>
  <c r="R62" i="72"/>
  <c r="R60" i="72"/>
  <c r="R54" i="72"/>
  <c r="R52" i="72"/>
  <c r="R48" i="72"/>
  <c r="R56" i="72"/>
  <c r="R50" i="72"/>
  <c r="R58" i="72"/>
  <c r="R46" i="72"/>
  <c r="S29" i="72"/>
  <c r="N129" i="72" l="1"/>
  <c r="N47" i="72"/>
  <c r="N93" i="72"/>
  <c r="N61" i="72"/>
  <c r="N113" i="72"/>
  <c r="N69" i="72"/>
  <c r="N101" i="72"/>
  <c r="N49" i="72"/>
  <c r="N89" i="72"/>
  <c r="N43" i="72"/>
  <c r="N105" i="72"/>
  <c r="N107" i="72"/>
  <c r="N41" i="72"/>
  <c r="EY41" i="72" s="1"/>
  <c r="FA41" i="72" s="1"/>
  <c r="N65" i="72"/>
  <c r="N75" i="72"/>
  <c r="O28" i="72"/>
  <c r="N99" i="72"/>
  <c r="N127" i="72"/>
  <c r="N67" i="72"/>
  <c r="N91" i="72"/>
  <c r="N81" i="72"/>
  <c r="N85" i="72"/>
  <c r="N111" i="72"/>
  <c r="N51" i="72"/>
  <c r="N55" i="72"/>
  <c r="N123" i="72"/>
  <c r="N125" i="72"/>
  <c r="N97" i="72"/>
  <c r="N63" i="72"/>
  <c r="N121" i="72"/>
  <c r="N109" i="72"/>
  <c r="N59" i="72"/>
  <c r="N57" i="72"/>
  <c r="N95" i="72"/>
  <c r="N79" i="72"/>
  <c r="N115" i="72"/>
  <c r="N117" i="72"/>
  <c r="N53" i="72"/>
  <c r="N103" i="72"/>
  <c r="N83" i="72"/>
  <c r="N87" i="72"/>
  <c r="N77" i="72"/>
  <c r="N73" i="72"/>
  <c r="N71" i="72"/>
  <c r="N119" i="72"/>
  <c r="N45" i="72"/>
  <c r="W29" i="72"/>
  <c r="V98" i="72"/>
  <c r="V128" i="72"/>
  <c r="V66" i="72"/>
  <c r="V108" i="72"/>
  <c r="V130" i="72"/>
  <c r="V44" i="72"/>
  <c r="EY44" i="72" s="1"/>
  <c r="EZ44" i="72" s="1"/>
  <c r="V106" i="72"/>
  <c r="V50" i="72"/>
  <c r="V102" i="72"/>
  <c r="V74" i="72"/>
  <c r="V92" i="72"/>
  <c r="V78" i="72"/>
  <c r="V62" i="72"/>
  <c r="V56" i="72"/>
  <c r="V116" i="72"/>
  <c r="V72" i="72"/>
  <c r="V48" i="72"/>
  <c r="V110" i="72"/>
  <c r="V70" i="72"/>
  <c r="V124" i="72"/>
  <c r="V60" i="72"/>
  <c r="V104" i="72"/>
  <c r="V118" i="72"/>
  <c r="V52" i="72"/>
  <c r="V46" i="72"/>
  <c r="V112" i="72"/>
  <c r="V126" i="72"/>
  <c r="V88" i="72"/>
  <c r="V132" i="72"/>
  <c r="V68" i="72"/>
  <c r="V58" i="72"/>
  <c r="V90" i="72"/>
  <c r="V54" i="72"/>
  <c r="V82" i="72"/>
  <c r="V84" i="72"/>
  <c r="V120" i="72"/>
  <c r="V80" i="72"/>
  <c r="V114" i="72"/>
  <c r="V76" i="72"/>
  <c r="V86" i="72"/>
  <c r="V96" i="72"/>
  <c r="V94" i="72"/>
  <c r="V64" i="72"/>
  <c r="V100" i="72"/>
  <c r="V122" i="72"/>
  <c r="R75" i="72" l="1"/>
  <c r="R123" i="72"/>
  <c r="R87" i="72"/>
  <c r="R127" i="72"/>
  <c r="R61" i="72"/>
  <c r="R45" i="72"/>
  <c r="S28" i="72"/>
  <c r="R83" i="72"/>
  <c r="R115" i="72"/>
  <c r="R67" i="72"/>
  <c r="R91" i="72"/>
  <c r="R71" i="72"/>
  <c r="R81" i="72"/>
  <c r="R59" i="72"/>
  <c r="R131" i="72"/>
  <c r="R121" i="72"/>
  <c r="R85" i="72"/>
  <c r="R125" i="72"/>
  <c r="R55" i="72"/>
  <c r="R65" i="72"/>
  <c r="R103" i="72"/>
  <c r="R107" i="72"/>
  <c r="R63" i="72"/>
  <c r="R99" i="72"/>
  <c r="R117" i="72"/>
  <c r="R69" i="72"/>
  <c r="R93" i="72"/>
  <c r="R49" i="72"/>
  <c r="R57" i="72"/>
  <c r="R77" i="72"/>
  <c r="R111" i="72"/>
  <c r="R89" i="72"/>
  <c r="R113" i="72"/>
  <c r="R105" i="72"/>
  <c r="R53" i="72"/>
  <c r="R97" i="72"/>
  <c r="R79" i="72"/>
  <c r="R109" i="72"/>
  <c r="R73" i="72"/>
  <c r="R133" i="72"/>
  <c r="R119" i="72"/>
  <c r="R47" i="72"/>
  <c r="R95" i="72"/>
  <c r="R51" i="72"/>
  <c r="R129" i="72"/>
  <c r="R101" i="72"/>
  <c r="Z102" i="72"/>
  <c r="Z70" i="72"/>
  <c r="Z122" i="72"/>
  <c r="Z92" i="72"/>
  <c r="Z94" i="72"/>
  <c r="Z116" i="72"/>
  <c r="Z46" i="72"/>
  <c r="Z110" i="72"/>
  <c r="Z114" i="72"/>
  <c r="Z130" i="72"/>
  <c r="Z66" i="72"/>
  <c r="Z134" i="72"/>
  <c r="Z96" i="72"/>
  <c r="Z50" i="72"/>
  <c r="Z106" i="72"/>
  <c r="Z126" i="72"/>
  <c r="Z52" i="72"/>
  <c r="AA29" i="72"/>
  <c r="Z118" i="72"/>
  <c r="Z100" i="72"/>
  <c r="Z56" i="72"/>
  <c r="Z128" i="72"/>
  <c r="Z68" i="72"/>
  <c r="Z54" i="72"/>
  <c r="Z104" i="72"/>
  <c r="Z48" i="72"/>
  <c r="Z60" i="72"/>
  <c r="Z90" i="72"/>
  <c r="Z112" i="72"/>
  <c r="Z108" i="72"/>
  <c r="Z98" i="72"/>
  <c r="Z132" i="72"/>
  <c r="Z88" i="72"/>
  <c r="Z120" i="72"/>
  <c r="Z78" i="72"/>
  <c r="Z62" i="72"/>
  <c r="Z58" i="72"/>
  <c r="Z86" i="72"/>
  <c r="Z124" i="72"/>
  <c r="Z64" i="72"/>
  <c r="Z84" i="72"/>
  <c r="Z80" i="72"/>
  <c r="Z72" i="72"/>
  <c r="Z76" i="72"/>
  <c r="Z74" i="72"/>
  <c r="Z82" i="72"/>
  <c r="V81" i="72" l="1"/>
  <c r="V85" i="72"/>
  <c r="V51" i="72"/>
  <c r="V69" i="72"/>
  <c r="V87" i="72"/>
  <c r="V47" i="72"/>
  <c r="V43" i="72"/>
  <c r="EY43" i="72" s="1"/>
  <c r="FA43" i="72" s="1"/>
  <c r="V83" i="72"/>
  <c r="V117" i="72"/>
  <c r="V113" i="72"/>
  <c r="V55" i="72"/>
  <c r="V131" i="72"/>
  <c r="V45" i="72"/>
  <c r="V53" i="72"/>
  <c r="V123" i="72"/>
  <c r="V91" i="72"/>
  <c r="V97" i="72"/>
  <c r="V107" i="72"/>
  <c r="V125" i="72"/>
  <c r="V121" i="72"/>
  <c r="V59" i="72"/>
  <c r="V101" i="72"/>
  <c r="V57" i="72"/>
  <c r="V65" i="72"/>
  <c r="V93" i="72"/>
  <c r="V111" i="72"/>
  <c r="W28" i="72"/>
  <c r="V119" i="72"/>
  <c r="V129" i="72"/>
  <c r="V73" i="72"/>
  <c r="V77" i="72"/>
  <c r="V115" i="72"/>
  <c r="V67" i="72"/>
  <c r="V105" i="72"/>
  <c r="V75" i="72"/>
  <c r="V49" i="72"/>
  <c r="V63" i="72"/>
  <c r="V99" i="72"/>
  <c r="V89" i="72"/>
  <c r="V109" i="72"/>
  <c r="V127" i="72"/>
  <c r="V95" i="72"/>
  <c r="V103" i="72"/>
  <c r="V71" i="72"/>
  <c r="V79" i="72"/>
  <c r="V61" i="72"/>
  <c r="AD72" i="72"/>
  <c r="AD110" i="72"/>
  <c r="AD84" i="72"/>
  <c r="AD106" i="72"/>
  <c r="AD60" i="72"/>
  <c r="AD102" i="72"/>
  <c r="AD112" i="72"/>
  <c r="AD78" i="72"/>
  <c r="AD90" i="72"/>
  <c r="AD88" i="72"/>
  <c r="AD54" i="72"/>
  <c r="AD70" i="72"/>
  <c r="AD50" i="72"/>
  <c r="AD58" i="72"/>
  <c r="AD96" i="72"/>
  <c r="AD122" i="72"/>
  <c r="AD62" i="72"/>
  <c r="AD116" i="72"/>
  <c r="AD80" i="72"/>
  <c r="AD98" i="72"/>
  <c r="AD132" i="72"/>
  <c r="AD104" i="72"/>
  <c r="AD130" i="72"/>
  <c r="AD74" i="72"/>
  <c r="AD108" i="72"/>
  <c r="AD76" i="72"/>
  <c r="AD92" i="72"/>
  <c r="AD46" i="72"/>
  <c r="AD100" i="72"/>
  <c r="AE29" i="72"/>
  <c r="AD68" i="72"/>
  <c r="AD66" i="72"/>
  <c r="AD86" i="72"/>
  <c r="AD48" i="72"/>
  <c r="AD128" i="72"/>
  <c r="AD126" i="72"/>
  <c r="AD118" i="72"/>
  <c r="AD64" i="72"/>
  <c r="AD124" i="72"/>
  <c r="AD56" i="72"/>
  <c r="AD82" i="72"/>
  <c r="AD52" i="72"/>
  <c r="AD114" i="72"/>
  <c r="AD134" i="72"/>
  <c r="AD94" i="72"/>
  <c r="AD120" i="72"/>
  <c r="Z91" i="72" l="1"/>
  <c r="Z67" i="72"/>
  <c r="Z89" i="72"/>
  <c r="Z51" i="72"/>
  <c r="Z103" i="72"/>
  <c r="Z105" i="72"/>
  <c r="Z97" i="72"/>
  <c r="Z101" i="72"/>
  <c r="Z47" i="72"/>
  <c r="Z121" i="72"/>
  <c r="Z123" i="72"/>
  <c r="Z99" i="72"/>
  <c r="Z55" i="72"/>
  <c r="Z119" i="72"/>
  <c r="Z59" i="72"/>
  <c r="Z133" i="72"/>
  <c r="Z73" i="72"/>
  <c r="Z61" i="72"/>
  <c r="Z57" i="72"/>
  <c r="Z71" i="72"/>
  <c r="Z49" i="72"/>
  <c r="Z79" i="72"/>
  <c r="Z69" i="72"/>
  <c r="Z111" i="72"/>
  <c r="Z81" i="72"/>
  <c r="Z107" i="72"/>
  <c r="Z117" i="72"/>
  <c r="Z93" i="72"/>
  <c r="Z129" i="72"/>
  <c r="AA28" i="72"/>
  <c r="Z85" i="72"/>
  <c r="Z75" i="72"/>
  <c r="Z65" i="72"/>
  <c r="Z127" i="72"/>
  <c r="Z53" i="72"/>
  <c r="Z115" i="72"/>
  <c r="Z125" i="72"/>
  <c r="Z109" i="72"/>
  <c r="Z95" i="72"/>
  <c r="Z113" i="72"/>
  <c r="Z87" i="72"/>
  <c r="Z45" i="72"/>
  <c r="Z131" i="72"/>
  <c r="Z83" i="72"/>
  <c r="Z77" i="72"/>
  <c r="Z63" i="72"/>
  <c r="AI29" i="72"/>
  <c r="AH130" i="72"/>
  <c r="AH106" i="72"/>
  <c r="AH64" i="72"/>
  <c r="AH134" i="72"/>
  <c r="AH82" i="72"/>
  <c r="AH92" i="72"/>
  <c r="AH100" i="72"/>
  <c r="AH108" i="72"/>
  <c r="AH78" i="72"/>
  <c r="AH50" i="72"/>
  <c r="AH124" i="72"/>
  <c r="AH84" i="72"/>
  <c r="AH48" i="72"/>
  <c r="AH76" i="72"/>
  <c r="AH110" i="72"/>
  <c r="AH132" i="72"/>
  <c r="AH56" i="72"/>
  <c r="AH94" i="72"/>
  <c r="AH54" i="72"/>
  <c r="AH118" i="72"/>
  <c r="AH96" i="72"/>
  <c r="AH72" i="72"/>
  <c r="AH90" i="72"/>
  <c r="AH70" i="72"/>
  <c r="AH126" i="72"/>
  <c r="AH80" i="72"/>
  <c r="AH86" i="72"/>
  <c r="AH60" i="72"/>
  <c r="AH112" i="72"/>
  <c r="AH58" i="72"/>
  <c r="AH74" i="72"/>
  <c r="AH102" i="72"/>
  <c r="AH104" i="72"/>
  <c r="AH120" i="72"/>
  <c r="AH52" i="72"/>
  <c r="AH98" i="72"/>
  <c r="AH114" i="72"/>
  <c r="AH128" i="72"/>
  <c r="AH66" i="72"/>
  <c r="AH46" i="72"/>
  <c r="EY46" i="72" s="1"/>
  <c r="EZ46" i="72" s="1"/>
  <c r="AH68" i="72"/>
  <c r="AH122" i="72"/>
  <c r="AH62" i="72"/>
  <c r="AH88" i="72"/>
  <c r="AH116" i="72"/>
  <c r="AD83" i="72" l="1"/>
  <c r="AD115" i="72"/>
  <c r="AD71" i="72"/>
  <c r="AE28" i="72"/>
  <c r="AD79" i="72"/>
  <c r="AD85" i="72"/>
  <c r="AD87" i="72"/>
  <c r="AD59" i="72"/>
  <c r="AD109" i="72"/>
  <c r="AD95" i="72"/>
  <c r="AD53" i="72"/>
  <c r="AD105" i="72"/>
  <c r="AD93" i="72"/>
  <c r="AD67" i="72"/>
  <c r="AD91" i="72"/>
  <c r="AD103" i="72"/>
  <c r="AD51" i="72"/>
  <c r="AD47" i="72"/>
  <c r="AD111" i="72"/>
  <c r="AD63" i="72"/>
  <c r="AD99" i="72"/>
  <c r="AD107" i="72"/>
  <c r="AD123" i="72"/>
  <c r="AD129" i="72"/>
  <c r="AD75" i="72"/>
  <c r="AD97" i="72"/>
  <c r="AD117" i="72"/>
  <c r="AD127" i="72"/>
  <c r="AD131" i="72"/>
  <c r="AD119" i="72"/>
  <c r="AD57" i="72"/>
  <c r="AD89" i="72"/>
  <c r="AD125" i="72"/>
  <c r="AD113" i="72"/>
  <c r="AD45" i="72"/>
  <c r="AD55" i="72"/>
  <c r="AD61" i="72"/>
  <c r="AD121" i="72"/>
  <c r="AD101" i="72"/>
  <c r="AD77" i="72"/>
  <c r="AD49" i="72"/>
  <c r="AD73" i="72"/>
  <c r="AD65" i="72"/>
  <c r="AD69" i="72"/>
  <c r="AD81" i="72"/>
  <c r="AD133" i="72"/>
  <c r="AL136" i="72"/>
  <c r="AL48" i="72"/>
  <c r="AL102" i="72"/>
  <c r="AL120" i="72"/>
  <c r="AL54" i="72"/>
  <c r="AL68" i="72"/>
  <c r="AL94" i="72"/>
  <c r="AL124" i="72"/>
  <c r="AL66" i="72"/>
  <c r="AL82" i="72"/>
  <c r="AL84" i="72"/>
  <c r="AL88" i="72"/>
  <c r="AL50" i="72"/>
  <c r="AL110" i="72"/>
  <c r="AL98" i="72"/>
  <c r="AL60" i="72"/>
  <c r="AL52" i="72"/>
  <c r="AM29" i="72"/>
  <c r="AL132" i="72"/>
  <c r="AL62" i="72"/>
  <c r="AL116" i="72"/>
  <c r="AL104" i="72"/>
  <c r="AL76" i="72"/>
  <c r="AL90" i="72"/>
  <c r="AL126" i="72"/>
  <c r="AL72" i="72"/>
  <c r="AL130" i="72"/>
  <c r="AL134" i="72"/>
  <c r="AL74" i="72"/>
  <c r="AL106" i="72"/>
  <c r="AL58" i="72"/>
  <c r="AL78" i="72"/>
  <c r="AL92" i="72"/>
  <c r="AL112" i="72"/>
  <c r="AL100" i="72"/>
  <c r="AL56" i="72"/>
  <c r="AL64" i="72"/>
  <c r="AL80" i="72"/>
  <c r="AL114" i="72"/>
  <c r="AL108" i="72"/>
  <c r="AL96" i="72"/>
  <c r="AL118" i="72"/>
  <c r="AL86" i="72"/>
  <c r="AL128" i="72"/>
  <c r="AL70" i="72"/>
  <c r="AL122" i="72"/>
  <c r="AH77" i="72" l="1"/>
  <c r="AH119" i="72"/>
  <c r="AH121" i="72"/>
  <c r="AH51" i="72"/>
  <c r="AH53" i="72"/>
  <c r="AH97" i="72"/>
  <c r="AH69" i="72"/>
  <c r="AH63" i="72"/>
  <c r="AH123" i="72"/>
  <c r="AH99" i="72"/>
  <c r="AH49" i="72"/>
  <c r="AH57" i="72"/>
  <c r="AH45" i="72"/>
  <c r="EY45" i="72" s="1"/>
  <c r="FA45" i="72" s="1"/>
  <c r="AH129" i="72"/>
  <c r="AH79" i="72"/>
  <c r="AH127" i="72"/>
  <c r="AH125" i="72"/>
  <c r="AH65" i="72"/>
  <c r="AH67" i="72"/>
  <c r="AH55" i="72"/>
  <c r="AH115" i="72"/>
  <c r="AH117" i="72"/>
  <c r="AH95" i="72"/>
  <c r="AH75" i="72"/>
  <c r="AH61" i="72"/>
  <c r="AH89" i="72"/>
  <c r="AH111" i="72"/>
  <c r="AH87" i="72"/>
  <c r="AH83" i="72"/>
  <c r="AH71" i="72"/>
  <c r="AH109" i="72"/>
  <c r="AH105" i="72"/>
  <c r="AH131" i="72"/>
  <c r="AH103" i="72"/>
  <c r="AH59" i="72"/>
  <c r="AH93" i="72"/>
  <c r="AH73" i="72"/>
  <c r="AH81" i="72"/>
  <c r="AI28" i="72"/>
  <c r="AH113" i="72"/>
  <c r="AH107" i="72"/>
  <c r="AH101" i="72"/>
  <c r="AH85" i="72"/>
  <c r="AH47" i="72"/>
  <c r="AH91" i="72"/>
  <c r="AH133" i="72"/>
  <c r="AP106" i="72"/>
  <c r="AP118" i="72"/>
  <c r="AP120" i="72"/>
  <c r="AP68" i="72"/>
  <c r="AP134" i="72"/>
  <c r="AP114" i="72"/>
  <c r="AP112" i="72"/>
  <c r="AP128" i="72"/>
  <c r="AP84" i="72"/>
  <c r="AP64" i="72"/>
  <c r="AP60" i="72"/>
  <c r="AP56" i="72"/>
  <c r="AP82" i="72"/>
  <c r="AP58" i="72"/>
  <c r="AP116" i="72"/>
  <c r="AP100" i="72"/>
  <c r="AP72" i="72"/>
  <c r="AP62" i="72"/>
  <c r="AP66" i="72"/>
  <c r="AP54" i="72"/>
  <c r="AP108" i="72"/>
  <c r="AP130" i="72"/>
  <c r="AP122" i="72"/>
  <c r="AP104" i="72"/>
  <c r="AP124" i="72"/>
  <c r="AP70" i="72"/>
  <c r="AP86" i="72"/>
  <c r="AP80" i="72"/>
  <c r="AP92" i="72"/>
  <c r="AP132" i="72"/>
  <c r="AP88" i="72"/>
  <c r="AP110" i="72"/>
  <c r="AP52" i="72"/>
  <c r="AP78" i="72"/>
  <c r="AP50" i="72"/>
  <c r="AP102" i="72"/>
  <c r="AP98" i="72"/>
  <c r="AP136" i="72"/>
  <c r="AP94" i="72"/>
  <c r="AQ29" i="72"/>
  <c r="AP96" i="72"/>
  <c r="AP76" i="72"/>
  <c r="AP90" i="72"/>
  <c r="AP48" i="72"/>
  <c r="AP74" i="72"/>
  <c r="AP126" i="72"/>
  <c r="AL47" i="72" l="1"/>
  <c r="AL99" i="72"/>
  <c r="AL87" i="72"/>
  <c r="AL53" i="72"/>
  <c r="AL75" i="72"/>
  <c r="AL83" i="72"/>
  <c r="AL77" i="72"/>
  <c r="AL67" i="72"/>
  <c r="AL51" i="72"/>
  <c r="AL103" i="72"/>
  <c r="AL49" i="72"/>
  <c r="AL79" i="72"/>
  <c r="AL95" i="72"/>
  <c r="AL81" i="72"/>
  <c r="AL119" i="72"/>
  <c r="AL71" i="72"/>
  <c r="AL127" i="72"/>
  <c r="AL89" i="72"/>
  <c r="AL135" i="72"/>
  <c r="AL85" i="72"/>
  <c r="AL69" i="72"/>
  <c r="AL109" i="72"/>
  <c r="AL57" i="72"/>
  <c r="AL73" i="72"/>
  <c r="AL125" i="72"/>
  <c r="AL93" i="72"/>
  <c r="AL91" i="72"/>
  <c r="AL115" i="72"/>
  <c r="AL63" i="72"/>
  <c r="AL61" i="72"/>
  <c r="AL129" i="72"/>
  <c r="AL105" i="72"/>
  <c r="AL113" i="72"/>
  <c r="AL59" i="72"/>
  <c r="AL101" i="72"/>
  <c r="AL117" i="72"/>
  <c r="AL133" i="72"/>
  <c r="AL123" i="72"/>
  <c r="AL55" i="72"/>
  <c r="AL107" i="72"/>
  <c r="AL131" i="72"/>
  <c r="AL97" i="72"/>
  <c r="AL111" i="72"/>
  <c r="AM28" i="72"/>
  <c r="AL65" i="72"/>
  <c r="AL121" i="72"/>
  <c r="AT118" i="72"/>
  <c r="AT116" i="72"/>
  <c r="AT86" i="72"/>
  <c r="AT60" i="72"/>
  <c r="AT70" i="72"/>
  <c r="AT96" i="72"/>
  <c r="BS29" i="72"/>
  <c r="AT124" i="72"/>
  <c r="AT66" i="72"/>
  <c r="AT50" i="72"/>
  <c r="AT128" i="72"/>
  <c r="AT110" i="72"/>
  <c r="AT88" i="72"/>
  <c r="AT82" i="72"/>
  <c r="AT112" i="72"/>
  <c r="AT74" i="72"/>
  <c r="AT84" i="72"/>
  <c r="AT62" i="72"/>
  <c r="AT80" i="72"/>
  <c r="AT78" i="72"/>
  <c r="AT108" i="72"/>
  <c r="AT134" i="72"/>
  <c r="AT126" i="72"/>
  <c r="AT104" i="72"/>
  <c r="AT48" i="72"/>
  <c r="AT136" i="72"/>
  <c r="AT130" i="72"/>
  <c r="AT58" i="72"/>
  <c r="AT100" i="72"/>
  <c r="AT76" i="72"/>
  <c r="AT106" i="72"/>
  <c r="AT132" i="72"/>
  <c r="AT94" i="72"/>
  <c r="AT68" i="72"/>
  <c r="AT102" i="72"/>
  <c r="AT54" i="72"/>
  <c r="AT52" i="72"/>
  <c r="AT98" i="72"/>
  <c r="AT114" i="72"/>
  <c r="AT122" i="72"/>
  <c r="AT92" i="72"/>
  <c r="AT90" i="72"/>
  <c r="AT56" i="72"/>
  <c r="AT120" i="72"/>
  <c r="AT64" i="72"/>
  <c r="AT72" i="72"/>
  <c r="AP125" i="72" l="1"/>
  <c r="AP55" i="72"/>
  <c r="AP89" i="72"/>
  <c r="AP69" i="72"/>
  <c r="AP127" i="72"/>
  <c r="AP57" i="72"/>
  <c r="AP95" i="72"/>
  <c r="AP103" i="72"/>
  <c r="AP81" i="72"/>
  <c r="AP101" i="72"/>
  <c r="AP117" i="72"/>
  <c r="AP133" i="72"/>
  <c r="AP99" i="72"/>
  <c r="AP105" i="72"/>
  <c r="AP111" i="72"/>
  <c r="AP51" i="72"/>
  <c r="AP83" i="72"/>
  <c r="AP115" i="72"/>
  <c r="AP73" i="72"/>
  <c r="AP77" i="72"/>
  <c r="AP63" i="72"/>
  <c r="AP71" i="72"/>
  <c r="AP109" i="72"/>
  <c r="AP85" i="72"/>
  <c r="AP135" i="72"/>
  <c r="AP53" i="72"/>
  <c r="AP47" i="72"/>
  <c r="AP93" i="72"/>
  <c r="AP49" i="72"/>
  <c r="AP119" i="72"/>
  <c r="AP113" i="72"/>
  <c r="AP79" i="72"/>
  <c r="AP123" i="72"/>
  <c r="AP131" i="72"/>
  <c r="AP87" i="72"/>
  <c r="AP121" i="72"/>
  <c r="AQ28" i="72"/>
  <c r="AP107" i="72"/>
  <c r="AP59" i="72"/>
  <c r="AP129" i="72"/>
  <c r="AP91" i="72"/>
  <c r="AP67" i="72"/>
  <c r="AP97" i="72"/>
  <c r="AP75" i="72"/>
  <c r="AP61" i="72"/>
  <c r="AP65" i="72"/>
  <c r="CA29" i="72"/>
  <c r="CE29" i="72"/>
  <c r="BV112" i="72"/>
  <c r="BV108" i="72"/>
  <c r="BV90" i="72"/>
  <c r="BV134" i="72"/>
  <c r="BV118" i="72"/>
  <c r="BV96" i="72"/>
  <c r="BV132" i="72"/>
  <c r="BV86" i="72"/>
  <c r="BV120" i="72"/>
  <c r="BV60" i="72"/>
  <c r="BV80" i="72"/>
  <c r="BV100" i="72"/>
  <c r="BV78" i="72"/>
  <c r="BV58" i="72"/>
  <c r="BV48" i="72"/>
  <c r="EY48" i="72" s="1"/>
  <c r="EZ48" i="72" s="1"/>
  <c r="BV122" i="72"/>
  <c r="BV70" i="72"/>
  <c r="BV82" i="72"/>
  <c r="BV62" i="72"/>
  <c r="BV110" i="72"/>
  <c r="BV130" i="72"/>
  <c r="BV50" i="72"/>
  <c r="BV128" i="72"/>
  <c r="BV102" i="72"/>
  <c r="BV66" i="72"/>
  <c r="BV92" i="72"/>
  <c r="BV68" i="72"/>
  <c r="BV106" i="72"/>
  <c r="BV94" i="72"/>
  <c r="BV98" i="72"/>
  <c r="BV88" i="72"/>
  <c r="BV74" i="72"/>
  <c r="BV64" i="72"/>
  <c r="BV136" i="72"/>
  <c r="BV52" i="72"/>
  <c r="BV56" i="72"/>
  <c r="BV116" i="72"/>
  <c r="BV76" i="72"/>
  <c r="BV72" i="72"/>
  <c r="BV104" i="72"/>
  <c r="BV124" i="72"/>
  <c r="BV114" i="72"/>
  <c r="BV54" i="72"/>
  <c r="BV126" i="72"/>
  <c r="BV84" i="72"/>
  <c r="AT105" i="72" l="1"/>
  <c r="AT133" i="72"/>
  <c r="AT123" i="72"/>
  <c r="BS28" i="72"/>
  <c r="AT73" i="72"/>
  <c r="AT65" i="72"/>
  <c r="AT109" i="72"/>
  <c r="AT97" i="72"/>
  <c r="AT129" i="72"/>
  <c r="AT79" i="72"/>
  <c r="AT63" i="72"/>
  <c r="AT75" i="72"/>
  <c r="AT93" i="72"/>
  <c r="AT95" i="72"/>
  <c r="AT83" i="72"/>
  <c r="AT115" i="72"/>
  <c r="AT77" i="72"/>
  <c r="AT99" i="72"/>
  <c r="AT49" i="72"/>
  <c r="AT51" i="72"/>
  <c r="AT113" i="72"/>
  <c r="AT61" i="72"/>
  <c r="AT103" i="72"/>
  <c r="AT67" i="72"/>
  <c r="AT121" i="72"/>
  <c r="AT125" i="72"/>
  <c r="AT87" i="72"/>
  <c r="AT71" i="72"/>
  <c r="AT91" i="72"/>
  <c r="AT101" i="72"/>
  <c r="AT57" i="72"/>
  <c r="AT131" i="72"/>
  <c r="AT81" i="72"/>
  <c r="AT47" i="72"/>
  <c r="AT127" i="72"/>
  <c r="AT85" i="72"/>
  <c r="AT111" i="72"/>
  <c r="AT55" i="72"/>
  <c r="AT89" i="72"/>
  <c r="AT117" i="72"/>
  <c r="AT69" i="72"/>
  <c r="AT135" i="72"/>
  <c r="AT107" i="72"/>
  <c r="AT59" i="72"/>
  <c r="AT119" i="72"/>
  <c r="AT53" i="72"/>
  <c r="CH136" i="72"/>
  <c r="CH50" i="72"/>
  <c r="CH66" i="72"/>
  <c r="CH110" i="72"/>
  <c r="CH86" i="72"/>
  <c r="CH64" i="72"/>
  <c r="CH106" i="72"/>
  <c r="CH124" i="72"/>
  <c r="CH88" i="72"/>
  <c r="CH104" i="72"/>
  <c r="CH60" i="72"/>
  <c r="CH76" i="72"/>
  <c r="CH102" i="72"/>
  <c r="CH130" i="72"/>
  <c r="CH98" i="72"/>
  <c r="CH58" i="72"/>
  <c r="CH56" i="72"/>
  <c r="CH90" i="72"/>
  <c r="CH138" i="72"/>
  <c r="CH96" i="72"/>
  <c r="CH80" i="72"/>
  <c r="CH120" i="72"/>
  <c r="CH84" i="72"/>
  <c r="CH74" i="72"/>
  <c r="CH122" i="72"/>
  <c r="CH112" i="72"/>
  <c r="CH126" i="72"/>
  <c r="CH68" i="72"/>
  <c r="CH78" i="72"/>
  <c r="CH72" i="72"/>
  <c r="CH108" i="72"/>
  <c r="CH134" i="72"/>
  <c r="CH70" i="72"/>
  <c r="CH62" i="72"/>
  <c r="CH116" i="72"/>
  <c r="CH132" i="72"/>
  <c r="CH94" i="72"/>
  <c r="CH92" i="72"/>
  <c r="CH82" i="72"/>
  <c r="CH118" i="72"/>
  <c r="CH128" i="72"/>
  <c r="CH100" i="72"/>
  <c r="CH54" i="72"/>
  <c r="CH114" i="72"/>
  <c r="CH52" i="72"/>
  <c r="CD96" i="72"/>
  <c r="CD72" i="72"/>
  <c r="CD60" i="72"/>
  <c r="CD126" i="72"/>
  <c r="CD114" i="72"/>
  <c r="CD54" i="72"/>
  <c r="CD80" i="72"/>
  <c r="CD84" i="72"/>
  <c r="CD132" i="72"/>
  <c r="CD68" i="72"/>
  <c r="CD102" i="72"/>
  <c r="CD98" i="72"/>
  <c r="CD120" i="72"/>
  <c r="CD76" i="72"/>
  <c r="CD50" i="72"/>
  <c r="CD88" i="72"/>
  <c r="CD128" i="72"/>
  <c r="CD136" i="72"/>
  <c r="CD112" i="72"/>
  <c r="CD56" i="72"/>
  <c r="CD90" i="72"/>
  <c r="CD82" i="72"/>
  <c r="CD58" i="72"/>
  <c r="CD104" i="72"/>
  <c r="CD108" i="72"/>
  <c r="CD116" i="72"/>
  <c r="CD94" i="72"/>
  <c r="CD86" i="72"/>
  <c r="CD70" i="72"/>
  <c r="CD62" i="72"/>
  <c r="CD138" i="72"/>
  <c r="CD106" i="72"/>
  <c r="CD134" i="72"/>
  <c r="CD74" i="72"/>
  <c r="CD78" i="72"/>
  <c r="CD64" i="72"/>
  <c r="CD92" i="72"/>
  <c r="CD130" i="72"/>
  <c r="CD118" i="72"/>
  <c r="CD110" i="72"/>
  <c r="CD122" i="72"/>
  <c r="CD100" i="72"/>
  <c r="CD52" i="72"/>
  <c r="CD66" i="72"/>
  <c r="CD124" i="72"/>
  <c r="BV109" i="72" l="1"/>
  <c r="BV57" i="72"/>
  <c r="BV107" i="72"/>
  <c r="BV135" i="72"/>
  <c r="BV131" i="72"/>
  <c r="BV89" i="72"/>
  <c r="BV111" i="72"/>
  <c r="BV127" i="72"/>
  <c r="BV87" i="72"/>
  <c r="BV65" i="72"/>
  <c r="BV79" i="72"/>
  <c r="BV49" i="72"/>
  <c r="BV125" i="72"/>
  <c r="BV61" i="72"/>
  <c r="BV117" i="72"/>
  <c r="BV113" i="72"/>
  <c r="BV73" i="72"/>
  <c r="BV123" i="72"/>
  <c r="BV59" i="72"/>
  <c r="BV115" i="72"/>
  <c r="BV99" i="72"/>
  <c r="BV85" i="72"/>
  <c r="BV51" i="72"/>
  <c r="BV91" i="72"/>
  <c r="BV53" i="72"/>
  <c r="BV75" i="72"/>
  <c r="BW28" i="72"/>
  <c r="BV69" i="72"/>
  <c r="BV67" i="72"/>
  <c r="BV97" i="72"/>
  <c r="BV129" i="72"/>
  <c r="BV47" i="72"/>
  <c r="EY47" i="72" s="1"/>
  <c r="FA47" i="72" s="1"/>
  <c r="BV81" i="72"/>
  <c r="BV77" i="72"/>
  <c r="BV93" i="72"/>
  <c r="BV83" i="72"/>
  <c r="BV105" i="72"/>
  <c r="BV55" i="72"/>
  <c r="BV119" i="72"/>
  <c r="BV133" i="72"/>
  <c r="BV101" i="72"/>
  <c r="BV71" i="72"/>
  <c r="BV63" i="72"/>
  <c r="BV121" i="72"/>
  <c r="BV95" i="72"/>
  <c r="BV103" i="72"/>
  <c r="BZ49" i="72" l="1"/>
  <c r="BZ133" i="72"/>
  <c r="BZ75" i="72"/>
  <c r="BZ81" i="72"/>
  <c r="BZ129" i="72"/>
  <c r="BZ103" i="72"/>
  <c r="BZ125" i="72"/>
  <c r="BZ55" i="72"/>
  <c r="BZ99" i="72"/>
  <c r="BZ63" i="72"/>
  <c r="BZ59" i="72"/>
  <c r="BZ83" i="72"/>
  <c r="BZ93" i="72"/>
  <c r="BZ91" i="72"/>
  <c r="BZ95" i="72"/>
  <c r="BZ67" i="72"/>
  <c r="BZ69" i="72"/>
  <c r="BZ119" i="72"/>
  <c r="BZ127" i="72"/>
  <c r="BZ123" i="72"/>
  <c r="BZ111" i="72"/>
  <c r="BZ79" i="72"/>
  <c r="BZ65" i="72"/>
  <c r="BW29" i="72"/>
  <c r="BZ57" i="72"/>
  <c r="BZ89" i="72"/>
  <c r="BZ121" i="72"/>
  <c r="BZ105" i="72"/>
  <c r="BZ117" i="72"/>
  <c r="BZ109" i="72"/>
  <c r="BZ71" i="72"/>
  <c r="BZ97" i="72"/>
  <c r="BZ53" i="72"/>
  <c r="BZ131" i="72"/>
  <c r="BZ107" i="72"/>
  <c r="CA28" i="72"/>
  <c r="BZ77" i="72"/>
  <c r="BZ137" i="72"/>
  <c r="BZ51" i="72"/>
  <c r="BZ87" i="72"/>
  <c r="BZ135" i="72"/>
  <c r="BZ61" i="72"/>
  <c r="BZ115" i="72"/>
  <c r="BZ73" i="72"/>
  <c r="BZ101" i="72"/>
  <c r="BZ85" i="72"/>
  <c r="BZ113" i="72"/>
  <c r="BZ68" i="72" l="1"/>
  <c r="BZ128" i="72"/>
  <c r="BZ90" i="72"/>
  <c r="BZ108" i="72"/>
  <c r="BZ120" i="72"/>
  <c r="BZ112" i="72"/>
  <c r="BZ76" i="72"/>
  <c r="BZ94" i="72"/>
  <c r="BZ116" i="72"/>
  <c r="BZ56" i="72"/>
  <c r="BZ78" i="72"/>
  <c r="BZ106" i="72"/>
  <c r="BZ52" i="72"/>
  <c r="BZ62" i="72"/>
  <c r="BZ70" i="72"/>
  <c r="BZ88" i="72"/>
  <c r="BZ98" i="72"/>
  <c r="BZ110" i="72"/>
  <c r="BZ130" i="72"/>
  <c r="BZ124" i="72"/>
  <c r="BZ134" i="72"/>
  <c r="BZ114" i="72"/>
  <c r="BZ72" i="72"/>
  <c r="BZ74" i="72"/>
  <c r="BZ96" i="72"/>
  <c r="BZ84" i="72"/>
  <c r="BZ54" i="72"/>
  <c r="BZ66" i="72"/>
  <c r="BZ64" i="72"/>
  <c r="BZ100" i="72"/>
  <c r="BZ80" i="72"/>
  <c r="BZ102" i="72"/>
  <c r="BZ136" i="72"/>
  <c r="BZ92" i="72"/>
  <c r="BZ138" i="72"/>
  <c r="BZ50" i="72"/>
  <c r="EY50" i="72" s="1"/>
  <c r="EZ50" i="72" s="1"/>
  <c r="BZ58" i="72"/>
  <c r="BZ104" i="72"/>
  <c r="BZ122" i="72"/>
  <c r="BZ132" i="72"/>
  <c r="BZ60" i="72"/>
  <c r="BZ118" i="72"/>
  <c r="BZ126" i="72"/>
  <c r="BZ82" i="72"/>
  <c r="BZ86" i="72"/>
  <c r="CD103" i="72"/>
  <c r="CD59" i="72"/>
  <c r="CD95" i="72"/>
  <c r="CD135" i="72"/>
  <c r="CD125" i="72"/>
  <c r="CD81" i="72"/>
  <c r="CD121" i="72"/>
  <c r="CD87" i="72"/>
  <c r="CD69" i="72"/>
  <c r="CD119" i="72"/>
  <c r="CD131" i="72"/>
  <c r="CD89" i="72"/>
  <c r="CD75" i="72"/>
  <c r="CD85" i="72"/>
  <c r="CD55" i="72"/>
  <c r="CD91" i="72"/>
  <c r="CD99" i="72"/>
  <c r="CD137" i="72"/>
  <c r="CD127" i="72"/>
  <c r="CD101" i="72"/>
  <c r="CD97" i="72"/>
  <c r="CD77" i="72"/>
  <c r="CD67" i="72"/>
  <c r="CD71" i="72"/>
  <c r="CD111" i="72"/>
  <c r="CD65" i="72"/>
  <c r="CD51" i="72"/>
  <c r="CD83" i="72"/>
  <c r="CD57" i="72"/>
  <c r="CD117" i="72"/>
  <c r="CD133" i="72"/>
  <c r="CD73" i="72"/>
  <c r="CD105" i="72"/>
  <c r="CD79" i="72"/>
  <c r="CE28" i="72"/>
  <c r="CD109" i="72"/>
  <c r="CD129" i="72"/>
  <c r="CD123" i="72"/>
  <c r="CD113" i="72"/>
  <c r="CD49" i="72"/>
  <c r="CD93" i="72"/>
  <c r="CD115" i="72"/>
  <c r="CD61" i="72"/>
  <c r="CD63" i="72"/>
  <c r="CD53" i="72"/>
  <c r="CD107" i="72"/>
  <c r="CH135" i="72" l="1"/>
  <c r="CH77" i="72"/>
  <c r="CH97" i="72"/>
  <c r="CH117" i="72"/>
  <c r="CH57" i="72"/>
  <c r="CH103" i="72"/>
  <c r="CH109" i="72"/>
  <c r="CH137" i="72"/>
  <c r="CH107" i="72"/>
  <c r="CH63" i="72"/>
  <c r="CH65" i="72"/>
  <c r="CH51" i="72"/>
  <c r="CH101" i="72"/>
  <c r="CH73" i="72"/>
  <c r="CH81" i="72"/>
  <c r="CH113" i="72"/>
  <c r="CH95" i="72"/>
  <c r="CH127" i="72"/>
  <c r="CH119" i="72"/>
  <c r="CH93" i="72"/>
  <c r="CH105" i="72"/>
  <c r="CH83" i="72"/>
  <c r="CH67" i="72"/>
  <c r="CH111" i="72"/>
  <c r="CH71" i="72"/>
  <c r="CH123" i="72"/>
  <c r="CH69" i="72"/>
  <c r="CH115" i="72"/>
  <c r="CH129" i="72"/>
  <c r="CH61" i="72"/>
  <c r="CH49" i="72"/>
  <c r="EY49" i="72" s="1"/>
  <c r="FA49" i="72" s="1"/>
  <c r="CH125" i="72"/>
  <c r="CH85" i="72"/>
  <c r="CH121" i="72"/>
  <c r="CH59" i="72"/>
  <c r="CH91" i="72"/>
  <c r="CH75" i="72"/>
  <c r="CH99" i="72"/>
  <c r="CH53" i="72"/>
  <c r="CH79" i="72"/>
  <c r="CH87" i="72"/>
  <c r="CI28" i="72"/>
  <c r="CH131" i="72"/>
  <c r="CH89" i="72"/>
  <c r="CH55" i="72"/>
  <c r="CH133" i="72"/>
  <c r="CL53" i="72" l="1"/>
  <c r="EY53" i="72" s="1"/>
  <c r="FA53" i="72" s="1"/>
  <c r="CL59" i="72"/>
  <c r="CL99" i="72"/>
  <c r="CL95" i="72"/>
  <c r="CL115" i="72"/>
  <c r="CL107" i="72"/>
  <c r="CL81" i="72"/>
  <c r="CL129" i="72"/>
  <c r="CL109" i="72"/>
  <c r="CL91" i="72"/>
  <c r="CL125" i="72"/>
  <c r="CL51" i="72"/>
  <c r="EY51" i="72" s="1"/>
  <c r="FA51" i="72" s="1"/>
  <c r="CL135" i="72"/>
  <c r="CL97" i="72"/>
  <c r="CL87" i="72"/>
  <c r="CL111" i="72"/>
  <c r="CL93" i="72"/>
  <c r="CL133" i="72"/>
  <c r="CL65" i="72"/>
  <c r="CL85" i="72"/>
  <c r="CL131" i="72"/>
  <c r="CL79" i="72"/>
  <c r="CL63" i="72"/>
  <c r="CL123" i="72"/>
  <c r="CL117" i="72"/>
  <c r="CL121" i="72"/>
  <c r="CL137" i="72"/>
  <c r="CL71" i="72"/>
  <c r="CL73" i="72"/>
  <c r="CL57" i="72"/>
  <c r="EY57" i="72" s="1"/>
  <c r="FA57" i="72" s="1"/>
  <c r="CL89" i="72"/>
  <c r="CL101" i="72"/>
  <c r="CL113" i="72"/>
  <c r="CL119" i="72"/>
  <c r="CL127" i="72"/>
  <c r="CL77" i="72"/>
  <c r="CM28" i="72"/>
  <c r="CL55" i="72"/>
  <c r="EY55" i="72" s="1"/>
  <c r="FA55" i="72" s="1"/>
  <c r="CL61" i="72"/>
  <c r="CL83" i="72"/>
  <c r="CL105" i="72"/>
  <c r="CL139" i="72"/>
  <c r="CL67" i="72"/>
  <c r="CL69" i="72"/>
  <c r="CL75" i="72"/>
  <c r="CL52" i="72"/>
  <c r="EY52" i="72" s="1"/>
  <c r="EZ52" i="72" s="1"/>
  <c r="CL103" i="72"/>
  <c r="CI29" i="72"/>
  <c r="CP103" i="72" l="1"/>
  <c r="CM29" i="72"/>
  <c r="CP131" i="72"/>
  <c r="CP117" i="72"/>
  <c r="CP61" i="72"/>
  <c r="CP133" i="72"/>
  <c r="CP77" i="72"/>
  <c r="CP69" i="72"/>
  <c r="CP143" i="72"/>
  <c r="CP101" i="72"/>
  <c r="CP123" i="72"/>
  <c r="CP65" i="72"/>
  <c r="CP63" i="72"/>
  <c r="CP85" i="72"/>
  <c r="CP145" i="72"/>
  <c r="CP105" i="72"/>
  <c r="CP129" i="72"/>
  <c r="CP141" i="72"/>
  <c r="CP59" i="72"/>
  <c r="CP97" i="72"/>
  <c r="CP91" i="72"/>
  <c r="CP113" i="72"/>
  <c r="CP71" i="72"/>
  <c r="CP135" i="72"/>
  <c r="CP95" i="72"/>
  <c r="CP115" i="72"/>
  <c r="CP147" i="72"/>
  <c r="CP125" i="72"/>
  <c r="CP111" i="72"/>
  <c r="CP121" i="72"/>
  <c r="CP109" i="72"/>
  <c r="CP137" i="72"/>
  <c r="CP67" i="72"/>
  <c r="CP75" i="72"/>
  <c r="CQ28" i="72"/>
  <c r="CP93" i="72"/>
  <c r="CP73" i="72"/>
  <c r="CP81" i="72"/>
  <c r="CP89" i="72"/>
  <c r="CP99" i="72"/>
  <c r="CP127" i="72"/>
  <c r="CP83" i="72"/>
  <c r="CP79" i="72"/>
  <c r="CP107" i="72"/>
  <c r="CP139" i="72"/>
  <c r="CP87" i="72"/>
  <c r="CP119" i="72"/>
  <c r="CL72" i="72"/>
  <c r="CL128" i="72"/>
  <c r="CL118" i="72"/>
  <c r="CL104" i="72"/>
  <c r="CL122" i="72"/>
  <c r="CL116" i="72"/>
  <c r="CL138" i="72"/>
  <c r="CL112" i="72"/>
  <c r="CL110" i="72"/>
  <c r="CL82" i="72"/>
  <c r="CL80" i="72"/>
  <c r="CL84" i="72"/>
  <c r="CL136" i="72"/>
  <c r="CL102" i="72"/>
  <c r="CL66" i="72"/>
  <c r="CL60" i="72"/>
  <c r="CL114" i="72"/>
  <c r="CL124" i="72"/>
  <c r="CL76" i="72"/>
  <c r="CL74" i="72"/>
  <c r="CL134" i="72"/>
  <c r="CL58" i="72"/>
  <c r="EY58" i="72" s="1"/>
  <c r="EZ58" i="72" s="1"/>
  <c r="CL106" i="72"/>
  <c r="CL100" i="72"/>
  <c r="CL132" i="72"/>
  <c r="CL130" i="72"/>
  <c r="CL56" i="72"/>
  <c r="EY56" i="72" s="1"/>
  <c r="EZ56" i="72" s="1"/>
  <c r="CL94" i="72"/>
  <c r="CL64" i="72"/>
  <c r="CL68" i="72"/>
  <c r="CL62" i="72"/>
  <c r="CL90" i="72"/>
  <c r="CL54" i="72"/>
  <c r="EY54" i="72" s="1"/>
  <c r="EZ54" i="72" s="1"/>
  <c r="CL70" i="72"/>
  <c r="CL78" i="72"/>
  <c r="CL88" i="72"/>
  <c r="CL96" i="72"/>
  <c r="CL108" i="72"/>
  <c r="CL140" i="72"/>
  <c r="CL126" i="72"/>
  <c r="CL86" i="72"/>
  <c r="CL98" i="72"/>
  <c r="CL120" i="72"/>
  <c r="CL92" i="72"/>
  <c r="CT121" i="72" l="1"/>
  <c r="CT111" i="72"/>
  <c r="CT97" i="72"/>
  <c r="CT125" i="72"/>
  <c r="CT109" i="72"/>
  <c r="CT139" i="72"/>
  <c r="CT119" i="72"/>
  <c r="CT137" i="72"/>
  <c r="CT91" i="72"/>
  <c r="CT99" i="72"/>
  <c r="CT59" i="72"/>
  <c r="CT93" i="72"/>
  <c r="CU28" i="72"/>
  <c r="CT123" i="72"/>
  <c r="CT103" i="72"/>
  <c r="CT89" i="72"/>
  <c r="CT65" i="72"/>
  <c r="CT73" i="72"/>
  <c r="CT67" i="72"/>
  <c r="CT131" i="72"/>
  <c r="CT105" i="72"/>
  <c r="CT77" i="72"/>
  <c r="CT85" i="72"/>
  <c r="CT141" i="72"/>
  <c r="CT133" i="72"/>
  <c r="CT75" i="72"/>
  <c r="CT95" i="72"/>
  <c r="CT147" i="72"/>
  <c r="CT101" i="72"/>
  <c r="CT87" i="72"/>
  <c r="CT115" i="72"/>
  <c r="CT69" i="72"/>
  <c r="CT63" i="72"/>
  <c r="CT107" i="72"/>
  <c r="CQ29" i="72"/>
  <c r="CT117" i="72"/>
  <c r="CT81" i="72"/>
  <c r="CT83" i="72"/>
  <c r="CT79" i="72"/>
  <c r="CT143" i="72"/>
  <c r="CT71" i="72"/>
  <c r="CT129" i="72"/>
  <c r="CT127" i="72"/>
  <c r="CT113" i="72"/>
  <c r="CT61" i="72"/>
  <c r="CT135" i="72"/>
  <c r="CT145" i="72"/>
  <c r="CP112" i="72"/>
  <c r="CP64" i="72"/>
  <c r="CP134" i="72"/>
  <c r="CP136" i="72"/>
  <c r="CP120" i="72"/>
  <c r="CP148" i="72"/>
  <c r="CP102" i="72"/>
  <c r="CP126" i="72"/>
  <c r="CP124" i="72"/>
  <c r="CP84" i="72"/>
  <c r="CP140" i="72"/>
  <c r="CP92" i="72"/>
  <c r="CP146" i="72"/>
  <c r="CP130" i="72"/>
  <c r="CP68" i="72"/>
  <c r="CP70" i="72"/>
  <c r="CP96" i="72"/>
  <c r="CP110" i="72"/>
  <c r="CP144" i="72"/>
  <c r="CP132" i="72"/>
  <c r="CP66" i="72"/>
  <c r="CP90" i="72"/>
  <c r="CP128" i="72"/>
  <c r="CP108" i="72"/>
  <c r="CP116" i="72"/>
  <c r="CP142" i="72"/>
  <c r="CP98" i="72"/>
  <c r="CP74" i="72"/>
  <c r="CP86" i="72"/>
  <c r="CP82" i="72"/>
  <c r="CP118" i="72"/>
  <c r="CP62" i="72"/>
  <c r="CP100" i="72"/>
  <c r="CP138" i="72"/>
  <c r="CP78" i="72"/>
  <c r="CP114" i="72"/>
  <c r="CP72" i="72"/>
  <c r="CP122" i="72"/>
  <c r="CP94" i="72"/>
  <c r="CP88" i="72"/>
  <c r="CP106" i="72"/>
  <c r="CP104" i="72"/>
  <c r="CP60" i="72"/>
  <c r="CP80" i="72"/>
  <c r="CP76" i="72"/>
  <c r="CX89" i="72" l="1"/>
  <c r="CX87" i="72"/>
  <c r="CX91" i="72"/>
  <c r="CX75" i="72"/>
  <c r="CX125" i="72"/>
  <c r="CX107" i="72"/>
  <c r="CX141" i="72"/>
  <c r="CX121" i="72"/>
  <c r="CX147" i="72"/>
  <c r="CX137" i="72"/>
  <c r="CX63" i="72"/>
  <c r="CX65" i="72"/>
  <c r="CX85" i="72"/>
  <c r="CX143" i="72"/>
  <c r="CY28" i="72"/>
  <c r="CX127" i="72"/>
  <c r="CX71" i="72"/>
  <c r="CU29" i="72"/>
  <c r="CX103" i="72"/>
  <c r="CX145" i="72"/>
  <c r="CX133" i="72"/>
  <c r="CX69" i="72"/>
  <c r="CX99" i="72"/>
  <c r="CX135" i="72"/>
  <c r="CX95" i="72"/>
  <c r="CX139" i="72"/>
  <c r="CX131" i="72"/>
  <c r="CX81" i="72"/>
  <c r="CX123" i="72"/>
  <c r="CX59" i="72"/>
  <c r="EY59" i="72" s="1"/>
  <c r="FA59" i="72" s="1"/>
  <c r="CX67" i="72"/>
  <c r="CX101" i="72"/>
  <c r="CX109" i="72"/>
  <c r="CX105" i="72"/>
  <c r="CX117" i="72"/>
  <c r="CX97" i="72"/>
  <c r="CX119" i="72"/>
  <c r="CX113" i="72"/>
  <c r="CX77" i="72"/>
  <c r="CX115" i="72"/>
  <c r="CX79" i="72"/>
  <c r="CX73" i="72"/>
  <c r="CX111" i="72"/>
  <c r="CX83" i="72"/>
  <c r="CX61" i="72"/>
  <c r="CX129" i="72"/>
  <c r="CX93" i="72"/>
  <c r="CT62" i="72"/>
  <c r="CT98" i="72"/>
  <c r="CT80" i="72"/>
  <c r="CT64" i="72"/>
  <c r="CT106" i="72"/>
  <c r="CT132" i="72"/>
  <c r="CT78" i="72"/>
  <c r="CT102" i="72"/>
  <c r="CT86" i="72"/>
  <c r="CT94" i="72"/>
  <c r="CT112" i="72"/>
  <c r="CT90" i="72"/>
  <c r="CT116" i="72"/>
  <c r="CT104" i="72"/>
  <c r="CT126" i="72"/>
  <c r="CT72" i="72"/>
  <c r="CT70" i="72"/>
  <c r="CT108" i="72"/>
  <c r="CT60" i="72"/>
  <c r="CT124" i="72"/>
  <c r="CT120" i="72"/>
  <c r="CT114" i="72"/>
  <c r="CT84" i="72"/>
  <c r="CT110" i="72"/>
  <c r="CT136" i="72"/>
  <c r="CT148" i="72"/>
  <c r="CT138" i="72"/>
  <c r="CT76" i="72"/>
  <c r="CT134" i="72"/>
  <c r="CT88" i="72"/>
  <c r="CT140" i="72"/>
  <c r="CT74" i="72"/>
  <c r="CT68" i="72"/>
  <c r="CT66" i="72"/>
  <c r="CT92" i="72"/>
  <c r="CT144" i="72"/>
  <c r="CT130" i="72"/>
  <c r="CT146" i="72"/>
  <c r="CT142" i="72"/>
  <c r="CT122" i="72"/>
  <c r="CT118" i="72"/>
  <c r="CT128" i="72"/>
  <c r="CT96" i="72"/>
  <c r="CT82" i="72"/>
  <c r="CT100" i="72"/>
  <c r="DB149" i="72" l="1"/>
  <c r="DB93" i="72"/>
  <c r="DB145" i="72"/>
  <c r="DB61" i="72"/>
  <c r="DB97" i="72"/>
  <c r="DB121" i="72"/>
  <c r="DB147" i="72"/>
  <c r="DB141" i="72"/>
  <c r="DB127" i="72"/>
  <c r="DB123" i="72"/>
  <c r="DB105" i="72"/>
  <c r="DB95" i="72"/>
  <c r="DC28" i="72"/>
  <c r="DB87" i="72"/>
  <c r="DB69" i="72"/>
  <c r="DB77" i="72"/>
  <c r="DB129" i="72"/>
  <c r="DB119" i="72"/>
  <c r="DB115" i="72"/>
  <c r="DB89" i="72"/>
  <c r="DB91" i="72"/>
  <c r="DB135" i="72"/>
  <c r="DB99" i="72"/>
  <c r="DB73" i="72"/>
  <c r="DB65" i="72"/>
  <c r="DB111" i="72"/>
  <c r="DB117" i="72"/>
  <c r="CY29" i="72"/>
  <c r="DB113" i="72"/>
  <c r="DB71" i="72"/>
  <c r="DB67" i="72"/>
  <c r="DB109" i="72"/>
  <c r="DB131" i="72"/>
  <c r="DB101" i="72"/>
  <c r="DB125" i="72"/>
  <c r="DB75" i="72"/>
  <c r="DB83" i="72"/>
  <c r="DB81" i="72"/>
  <c r="DB139" i="72"/>
  <c r="DB133" i="72"/>
  <c r="DB137" i="72"/>
  <c r="DB79" i="72"/>
  <c r="DB107" i="72"/>
  <c r="DB143" i="72"/>
  <c r="DB103" i="72"/>
  <c r="DB63" i="72"/>
  <c r="DB85" i="72"/>
  <c r="CX132" i="72"/>
  <c r="CX72" i="72"/>
  <c r="CX122" i="72"/>
  <c r="CX130" i="72"/>
  <c r="CX68" i="72"/>
  <c r="CX60" i="72"/>
  <c r="EY60" i="72" s="1"/>
  <c r="EZ60" i="72" s="1"/>
  <c r="CX98" i="72"/>
  <c r="CX114" i="72"/>
  <c r="CX140" i="72"/>
  <c r="CX102" i="72"/>
  <c r="CX124" i="72"/>
  <c r="CX108" i="72"/>
  <c r="CX74" i="72"/>
  <c r="CX126" i="72"/>
  <c r="CX76" i="72"/>
  <c r="CX110" i="72"/>
  <c r="CX94" i="72"/>
  <c r="CX116" i="72"/>
  <c r="CX88" i="72"/>
  <c r="CX84" i="72"/>
  <c r="CX118" i="72"/>
  <c r="CX80" i="72"/>
  <c r="CX66" i="72"/>
  <c r="CX112" i="72"/>
  <c r="CX128" i="72"/>
  <c r="CX134" i="72"/>
  <c r="CX104" i="72"/>
  <c r="CX136" i="72"/>
  <c r="CX62" i="72"/>
  <c r="CX120" i="72"/>
  <c r="CX82" i="72"/>
  <c r="CX142" i="72"/>
  <c r="CX92" i="72"/>
  <c r="CX146" i="72"/>
  <c r="CX70" i="72"/>
  <c r="CX86" i="72"/>
  <c r="CX144" i="72"/>
  <c r="CX138" i="72"/>
  <c r="CX90" i="72"/>
  <c r="CX100" i="72"/>
  <c r="CX64" i="72"/>
  <c r="CX96" i="72"/>
  <c r="CX78" i="72"/>
  <c r="CX148" i="72"/>
  <c r="CX106" i="72"/>
  <c r="DG28" i="72" l="1"/>
  <c r="DF63" i="72"/>
  <c r="DF137" i="72"/>
  <c r="DC29" i="72"/>
  <c r="DF75" i="72"/>
  <c r="DF77" i="72"/>
  <c r="DF65" i="72"/>
  <c r="DF129" i="72"/>
  <c r="DF83" i="72"/>
  <c r="DF89" i="72"/>
  <c r="DF147" i="72"/>
  <c r="DF79" i="72"/>
  <c r="DF87" i="72"/>
  <c r="DF135" i="72"/>
  <c r="DF71" i="72"/>
  <c r="DF111" i="72"/>
  <c r="DF125" i="72"/>
  <c r="DF69" i="72"/>
  <c r="DF99" i="72"/>
  <c r="DF149" i="72"/>
  <c r="DF139" i="72"/>
  <c r="DF61" i="72"/>
  <c r="DF145" i="72"/>
  <c r="DF127" i="72"/>
  <c r="DF85" i="72"/>
  <c r="DF133" i="72"/>
  <c r="DF105" i="72"/>
  <c r="DF95" i="72"/>
  <c r="DF121" i="72"/>
  <c r="DF109" i="72"/>
  <c r="DF141" i="72"/>
  <c r="DF97" i="72"/>
  <c r="DF123" i="72"/>
  <c r="DF131" i="72"/>
  <c r="DF93" i="72"/>
  <c r="DF91" i="72"/>
  <c r="DF67" i="72"/>
  <c r="DF143" i="72"/>
  <c r="DF101" i="72"/>
  <c r="DF103" i="72"/>
  <c r="DF81" i="72"/>
  <c r="DF113" i="72"/>
  <c r="DF115" i="72"/>
  <c r="DF73" i="72"/>
  <c r="DF117" i="72"/>
  <c r="DF119" i="72"/>
  <c r="DF107" i="72"/>
  <c r="DB142" i="72"/>
  <c r="DB128" i="72"/>
  <c r="DB140" i="72"/>
  <c r="DB76" i="72"/>
  <c r="DB84" i="72"/>
  <c r="DB106" i="72"/>
  <c r="DB112" i="72"/>
  <c r="DB134" i="72"/>
  <c r="DB88" i="72"/>
  <c r="DB102" i="72"/>
  <c r="DB72" i="72"/>
  <c r="DB120" i="72"/>
  <c r="DB104" i="72"/>
  <c r="DB90" i="72"/>
  <c r="DB130" i="72"/>
  <c r="DB64" i="72"/>
  <c r="DB110" i="72"/>
  <c r="DB98" i="72"/>
  <c r="DB148" i="72"/>
  <c r="DB70" i="72"/>
  <c r="DB116" i="72"/>
  <c r="DB136" i="72"/>
  <c r="DB100" i="72"/>
  <c r="DB150" i="72"/>
  <c r="DB86" i="72"/>
  <c r="DB92" i="72"/>
  <c r="DB118" i="72"/>
  <c r="DB144" i="72"/>
  <c r="DB132" i="72"/>
  <c r="DB74" i="72"/>
  <c r="DB126" i="72"/>
  <c r="DB78" i="72"/>
  <c r="DB114" i="72"/>
  <c r="DB124" i="72"/>
  <c r="DB94" i="72"/>
  <c r="DB62" i="72"/>
  <c r="DB82" i="72"/>
  <c r="DB108" i="72"/>
  <c r="DB138" i="72"/>
  <c r="DB146" i="72"/>
  <c r="DB96" i="72"/>
  <c r="DB122" i="72"/>
  <c r="DB68" i="72"/>
  <c r="DB80" i="72"/>
  <c r="DB66" i="72"/>
  <c r="DF130" i="72" l="1"/>
  <c r="DF106" i="72"/>
  <c r="DF82" i="72"/>
  <c r="DF140" i="72"/>
  <c r="DF124" i="72"/>
  <c r="DF74" i="72"/>
  <c r="DF118" i="72"/>
  <c r="DF94" i="72"/>
  <c r="DF68" i="72"/>
  <c r="DF100" i="72"/>
  <c r="DF66" i="72"/>
  <c r="DF110" i="72"/>
  <c r="DF76" i="72"/>
  <c r="DF92" i="72"/>
  <c r="DF102" i="72"/>
  <c r="DF78" i="72"/>
  <c r="DF146" i="72"/>
  <c r="DF62" i="72"/>
  <c r="DF148" i="72"/>
  <c r="DF86" i="72"/>
  <c r="DF84" i="72"/>
  <c r="DF132" i="72"/>
  <c r="DF104" i="72"/>
  <c r="DF90" i="72"/>
  <c r="DF98" i="72"/>
  <c r="DF70" i="72"/>
  <c r="DF142" i="72"/>
  <c r="DF72" i="72"/>
  <c r="DF80" i="72"/>
  <c r="DF144" i="72"/>
  <c r="DF88" i="72"/>
  <c r="DF108" i="72"/>
  <c r="DF96" i="72"/>
  <c r="DF64" i="72"/>
  <c r="DF134" i="72"/>
  <c r="DF150" i="72"/>
  <c r="DF138" i="72"/>
  <c r="DF116" i="72"/>
  <c r="DF120" i="72"/>
  <c r="DF128" i="72"/>
  <c r="DF112" i="72"/>
  <c r="DF126" i="72"/>
  <c r="DF114" i="72"/>
  <c r="DF136" i="72"/>
  <c r="DF122" i="72"/>
  <c r="DJ69" i="72"/>
  <c r="DJ73" i="72"/>
  <c r="DJ93" i="72"/>
  <c r="DJ137" i="72"/>
  <c r="DJ141" i="72"/>
  <c r="DJ81" i="72"/>
  <c r="DJ115" i="72"/>
  <c r="DJ127" i="72"/>
  <c r="DJ139" i="72"/>
  <c r="DJ61" i="72"/>
  <c r="DJ87" i="72"/>
  <c r="DJ119" i="72"/>
  <c r="DJ107" i="72"/>
  <c r="DJ143" i="72"/>
  <c r="DJ105" i="72"/>
  <c r="DJ77" i="72"/>
  <c r="DJ111" i="72"/>
  <c r="DJ97" i="72"/>
  <c r="DJ63" i="72"/>
  <c r="DJ125" i="72"/>
  <c r="DJ91" i="72"/>
  <c r="DJ103" i="72"/>
  <c r="DJ65" i="72"/>
  <c r="DG29" i="72"/>
  <c r="DJ79" i="72"/>
  <c r="DJ99" i="72"/>
  <c r="DJ135" i="72"/>
  <c r="DJ145" i="72"/>
  <c r="DJ133" i="72"/>
  <c r="DJ113" i="72"/>
  <c r="DK28" i="72"/>
  <c r="DJ109" i="72"/>
  <c r="DJ149" i="72"/>
  <c r="DJ101" i="72"/>
  <c r="DJ121" i="72"/>
  <c r="DJ117" i="72"/>
  <c r="DJ123" i="72"/>
  <c r="DJ131" i="72"/>
  <c r="DJ89" i="72"/>
  <c r="DJ83" i="72"/>
  <c r="DJ71" i="72"/>
  <c r="DJ129" i="72"/>
  <c r="DJ85" i="72"/>
  <c r="DJ95" i="72"/>
  <c r="DJ147" i="72"/>
  <c r="DJ75" i="72"/>
  <c r="DJ67" i="72"/>
  <c r="DJ112" i="72" l="1"/>
  <c r="DJ96" i="72"/>
  <c r="DJ76" i="72"/>
  <c r="DJ74" i="72"/>
  <c r="DJ102" i="72"/>
  <c r="DJ70" i="72"/>
  <c r="DJ78" i="72"/>
  <c r="DJ108" i="72"/>
  <c r="DJ132" i="72"/>
  <c r="DJ136" i="72"/>
  <c r="DJ124" i="72"/>
  <c r="DJ86" i="72"/>
  <c r="DJ142" i="72"/>
  <c r="DJ146" i="72"/>
  <c r="DJ104" i="72"/>
  <c r="DJ98" i="72"/>
  <c r="DJ116" i="72"/>
  <c r="DJ130" i="72"/>
  <c r="DJ84" i="72"/>
  <c r="DJ66" i="72"/>
  <c r="DJ90" i="72"/>
  <c r="DJ100" i="72"/>
  <c r="DJ68" i="72"/>
  <c r="DJ138" i="72"/>
  <c r="DJ148" i="72"/>
  <c r="DJ62" i="72"/>
  <c r="DJ128" i="72"/>
  <c r="DJ80" i="72"/>
  <c r="DJ72" i="72"/>
  <c r="DJ92" i="72"/>
  <c r="DJ120" i="72"/>
  <c r="DJ64" i="72"/>
  <c r="DJ118" i="72"/>
  <c r="DJ110" i="72"/>
  <c r="DJ88" i="72"/>
  <c r="DJ122" i="72"/>
  <c r="DJ144" i="72"/>
  <c r="DJ114" i="72"/>
  <c r="DJ140" i="72"/>
  <c r="DJ126" i="72"/>
  <c r="DJ106" i="72"/>
  <c r="DJ150" i="72"/>
  <c r="DJ94" i="72"/>
  <c r="DJ82" i="72"/>
  <c r="DJ134" i="72"/>
  <c r="DN135" i="72"/>
  <c r="DN71" i="72"/>
  <c r="DN133" i="72"/>
  <c r="DN149" i="72"/>
  <c r="DN89" i="72"/>
  <c r="DN143" i="72"/>
  <c r="DO28" i="72"/>
  <c r="DK29" i="72"/>
  <c r="DN137" i="72"/>
  <c r="DN129" i="72"/>
  <c r="DN63" i="72"/>
  <c r="DN141" i="72"/>
  <c r="DN139" i="72"/>
  <c r="DN97" i="72"/>
  <c r="DN103" i="72"/>
  <c r="DN115" i="72"/>
  <c r="DN101" i="72"/>
  <c r="DN109" i="72"/>
  <c r="DN83" i="72"/>
  <c r="DN123" i="72"/>
  <c r="DN119" i="72"/>
  <c r="DN125" i="72"/>
  <c r="DN73" i="72"/>
  <c r="DN69" i="72"/>
  <c r="DN111" i="72"/>
  <c r="DN105" i="72"/>
  <c r="DN99" i="72"/>
  <c r="DN117" i="72"/>
  <c r="DN65" i="72"/>
  <c r="DN145" i="72"/>
  <c r="DN147" i="72"/>
  <c r="DN61" i="72"/>
  <c r="EY61" i="72" s="1"/>
  <c r="FA61" i="72" s="1"/>
  <c r="DN87" i="72"/>
  <c r="DN95" i="72"/>
  <c r="DN91" i="72"/>
  <c r="DN77" i="72"/>
  <c r="DN131" i="72"/>
  <c r="DN127" i="72"/>
  <c r="DN67" i="72"/>
  <c r="DN79" i="72"/>
  <c r="DN75" i="72"/>
  <c r="DN121" i="72"/>
  <c r="DN93" i="72"/>
  <c r="DN85" i="72"/>
  <c r="DN81" i="72"/>
  <c r="DN113" i="72"/>
  <c r="DN107" i="72"/>
  <c r="DN142" i="72" l="1"/>
  <c r="DN134" i="72"/>
  <c r="DN150" i="72"/>
  <c r="DN88" i="72"/>
  <c r="DN94" i="72"/>
  <c r="DN126" i="72"/>
  <c r="DN140" i="72"/>
  <c r="DN86" i="72"/>
  <c r="DN138" i="72"/>
  <c r="DN70" i="72"/>
  <c r="DN108" i="72"/>
  <c r="DN84" i="72"/>
  <c r="DN78" i="72"/>
  <c r="DN74" i="72"/>
  <c r="DN136" i="72"/>
  <c r="DN110" i="72"/>
  <c r="DN118" i="72"/>
  <c r="DN96" i="72"/>
  <c r="DN144" i="72"/>
  <c r="DN72" i="72"/>
  <c r="DN92" i="72"/>
  <c r="DN90" i="72"/>
  <c r="DN128" i="72"/>
  <c r="DN120" i="72"/>
  <c r="DN66" i="72"/>
  <c r="DN62" i="72"/>
  <c r="EY62" i="72" s="1"/>
  <c r="EZ62" i="72" s="1"/>
  <c r="DN80" i="72"/>
  <c r="DN102" i="72"/>
  <c r="DN146" i="72"/>
  <c r="DN68" i="72"/>
  <c r="DN132" i="72"/>
  <c r="DN82" i="72"/>
  <c r="DN122" i="72"/>
  <c r="DN100" i="72"/>
  <c r="DN130" i="72"/>
  <c r="DN114" i="72"/>
  <c r="DN116" i="72"/>
  <c r="DN106" i="72"/>
  <c r="DN98" i="72"/>
  <c r="DN104" i="72"/>
  <c r="DN76" i="72"/>
  <c r="DN64" i="72"/>
  <c r="DN112" i="72"/>
  <c r="DN148" i="72"/>
  <c r="DN124" i="72"/>
  <c r="DR133" i="72"/>
  <c r="DR99" i="72"/>
  <c r="DR135" i="72"/>
  <c r="DR137" i="72"/>
  <c r="DR127" i="72"/>
  <c r="DR95" i="72"/>
  <c r="DR101" i="72"/>
  <c r="DR103" i="72"/>
  <c r="DR115" i="72"/>
  <c r="DR123" i="72"/>
  <c r="DR129" i="72"/>
  <c r="DR97" i="72"/>
  <c r="DR149" i="72"/>
  <c r="DR63" i="72"/>
  <c r="DR141" i="72"/>
  <c r="DR109" i="72"/>
  <c r="DR151" i="72"/>
  <c r="DR117" i="72"/>
  <c r="DO29" i="72"/>
  <c r="DR131" i="72"/>
  <c r="DR121" i="72"/>
  <c r="DR143" i="72"/>
  <c r="DS28" i="72"/>
  <c r="DR145" i="72"/>
  <c r="DR119" i="72"/>
  <c r="DR91" i="72"/>
  <c r="DR93" i="72"/>
  <c r="DR111" i="72"/>
  <c r="DR147" i="72"/>
  <c r="DR113" i="72"/>
  <c r="DR105" i="72"/>
  <c r="DR139" i="72"/>
  <c r="DR107" i="72"/>
  <c r="DR125" i="72"/>
  <c r="DR112" i="72" l="1"/>
  <c r="DR88" i="72"/>
  <c r="DR87" i="72"/>
  <c r="DR90" i="72"/>
  <c r="DR86" i="72"/>
  <c r="DR78" i="72"/>
  <c r="DR132" i="72"/>
  <c r="DR83" i="72"/>
  <c r="DR146" i="72"/>
  <c r="DR128" i="72"/>
  <c r="DR144" i="72"/>
  <c r="DR65" i="72"/>
  <c r="DR152" i="72"/>
  <c r="DR89" i="72"/>
  <c r="DR94" i="72"/>
  <c r="DR106" i="72"/>
  <c r="DR84" i="72"/>
  <c r="DR150" i="72"/>
  <c r="DR66" i="72"/>
  <c r="DR82" i="72"/>
  <c r="DR72" i="72"/>
  <c r="DR108" i="72"/>
  <c r="DR122" i="72"/>
  <c r="DR104" i="72"/>
  <c r="DR102" i="72"/>
  <c r="DR75" i="72"/>
  <c r="DR68" i="72"/>
  <c r="DR116" i="72"/>
  <c r="DR114" i="72"/>
  <c r="DR138" i="72"/>
  <c r="DR120" i="72"/>
  <c r="DR118" i="72"/>
  <c r="DR69" i="72"/>
  <c r="DR67" i="72"/>
  <c r="DR110" i="72"/>
  <c r="DR98" i="72"/>
  <c r="DR64" i="72"/>
  <c r="DR136" i="72"/>
  <c r="DR134" i="72"/>
  <c r="DR92" i="72"/>
  <c r="DR76" i="72"/>
  <c r="DR142" i="72"/>
  <c r="DR126" i="72"/>
  <c r="DR124" i="72"/>
  <c r="DR140" i="72"/>
  <c r="DR73" i="72"/>
  <c r="DR71" i="72"/>
  <c r="DR70" i="72"/>
  <c r="DR85" i="72"/>
  <c r="DR80" i="72"/>
  <c r="DR130" i="72"/>
  <c r="DR96" i="72"/>
  <c r="DR74" i="72"/>
  <c r="DR148" i="72"/>
  <c r="DR81" i="72"/>
  <c r="DR100" i="72"/>
  <c r="DR79" i="72"/>
  <c r="DR77" i="72"/>
  <c r="DV133" i="72"/>
  <c r="DV131" i="72"/>
  <c r="DV135" i="72"/>
  <c r="DV91" i="72"/>
  <c r="DV149" i="72"/>
  <c r="DV147" i="72"/>
  <c r="DV143" i="72"/>
  <c r="DW28" i="72"/>
  <c r="DV103" i="72"/>
  <c r="DV115" i="72"/>
  <c r="DV109" i="72"/>
  <c r="DV139" i="72"/>
  <c r="DV145" i="72"/>
  <c r="DV113" i="72"/>
  <c r="DV119" i="72"/>
  <c r="DV105" i="72"/>
  <c r="DV151" i="72"/>
  <c r="DV111" i="72"/>
  <c r="DV141" i="72"/>
  <c r="DV129" i="72"/>
  <c r="DS29" i="72"/>
  <c r="DV117" i="72"/>
  <c r="DV101" i="72"/>
  <c r="DV107" i="72"/>
  <c r="DV137" i="72"/>
  <c r="DV97" i="72"/>
  <c r="DV99" i="72"/>
  <c r="DV125" i="72"/>
  <c r="DV93" i="72"/>
  <c r="DV127" i="72"/>
  <c r="DV121" i="72"/>
  <c r="DV63" i="72"/>
  <c r="DV123" i="72"/>
  <c r="DV95" i="72"/>
  <c r="DV108" i="72" l="1"/>
  <c r="DV106" i="72"/>
  <c r="DV90" i="72"/>
  <c r="DV89" i="72"/>
  <c r="DV102" i="72"/>
  <c r="DV100" i="72"/>
  <c r="DV146" i="72"/>
  <c r="DV118" i="72"/>
  <c r="DV77" i="72"/>
  <c r="DV69" i="72"/>
  <c r="DV140" i="72"/>
  <c r="DV70" i="72"/>
  <c r="DV112" i="72"/>
  <c r="DV78" i="72"/>
  <c r="DV122" i="72"/>
  <c r="DV120" i="72"/>
  <c r="DV104" i="72"/>
  <c r="DV116" i="72"/>
  <c r="DV126" i="72"/>
  <c r="DV68" i="72"/>
  <c r="DV152" i="72"/>
  <c r="DV81" i="72"/>
  <c r="DV136" i="72"/>
  <c r="DV150" i="72"/>
  <c r="DV134" i="72"/>
  <c r="DV132" i="72"/>
  <c r="DV86" i="72"/>
  <c r="DV124" i="72"/>
  <c r="DV71" i="72"/>
  <c r="DV87" i="72"/>
  <c r="DV110" i="72"/>
  <c r="DV85" i="72"/>
  <c r="DV148" i="72"/>
  <c r="DV96" i="72"/>
  <c r="DV138" i="72"/>
  <c r="DV114" i="72"/>
  <c r="DV72" i="72"/>
  <c r="DV65" i="72"/>
  <c r="DV98" i="72"/>
  <c r="DV79" i="72"/>
  <c r="DV144" i="72"/>
  <c r="DV128" i="72"/>
  <c r="DV76" i="72"/>
  <c r="DV67" i="72"/>
  <c r="DV66" i="72"/>
  <c r="DV64" i="72"/>
  <c r="DV80" i="72"/>
  <c r="DV130" i="72"/>
  <c r="DV94" i="72"/>
  <c r="DV83" i="72"/>
  <c r="DV75" i="72"/>
  <c r="DV74" i="72"/>
  <c r="DV73" i="72"/>
  <c r="DV142" i="72"/>
  <c r="DV92" i="72"/>
  <c r="DV84" i="72"/>
  <c r="DV82" i="72"/>
  <c r="DV88" i="72"/>
  <c r="DZ119" i="72"/>
  <c r="DZ143" i="72"/>
  <c r="DZ97" i="72"/>
  <c r="DZ107" i="72"/>
  <c r="DZ135" i="72"/>
  <c r="EA28" i="72"/>
  <c r="DZ111" i="72"/>
  <c r="DZ95" i="72"/>
  <c r="DZ139" i="72"/>
  <c r="DZ121" i="72"/>
  <c r="DZ117" i="72"/>
  <c r="DZ91" i="72"/>
  <c r="DZ145" i="72"/>
  <c r="DZ149" i="72"/>
  <c r="DZ131" i="72"/>
  <c r="DZ137" i="72"/>
  <c r="DZ141" i="72"/>
  <c r="DW29" i="72"/>
  <c r="DZ113" i="72"/>
  <c r="DZ125" i="72"/>
  <c r="DZ99" i="72"/>
  <c r="DZ63" i="72"/>
  <c r="DZ93" i="72"/>
  <c r="DZ127" i="72"/>
  <c r="DZ123" i="72"/>
  <c r="DZ105" i="72"/>
  <c r="DZ109" i="72"/>
  <c r="DZ103" i="72"/>
  <c r="DZ133" i="72"/>
  <c r="DZ101" i="72"/>
  <c r="DZ151" i="72"/>
  <c r="DZ129" i="72"/>
  <c r="DZ147" i="72"/>
  <c r="DZ115" i="72"/>
  <c r="ED63" i="72" l="1"/>
  <c r="EY63" i="72" s="1"/>
  <c r="FA63" i="72" s="1"/>
  <c r="ED107" i="72"/>
  <c r="ED121" i="72"/>
  <c r="ED141" i="72"/>
  <c r="ED109" i="72"/>
  <c r="ED103" i="72"/>
  <c r="ED137" i="72"/>
  <c r="ED133" i="72"/>
  <c r="ED135" i="72"/>
  <c r="ED131" i="72"/>
  <c r="ED99" i="72"/>
  <c r="ED129" i="72"/>
  <c r="ED101" i="72"/>
  <c r="ED143" i="72"/>
  <c r="ED111" i="72"/>
  <c r="ED139" i="72"/>
  <c r="ED97" i="72"/>
  <c r="ED93" i="72"/>
  <c r="ED105" i="72"/>
  <c r="EE28" i="72"/>
  <c r="ED125" i="72"/>
  <c r="ED123" i="72"/>
  <c r="ED149" i="72"/>
  <c r="ED151" i="72"/>
  <c r="ED119" i="72"/>
  <c r="ED115" i="72"/>
  <c r="ED145" i="72"/>
  <c r="ED117" i="72"/>
  <c r="ED147" i="72"/>
  <c r="EA29" i="72"/>
  <c r="ED127" i="72"/>
  <c r="ED95" i="72"/>
  <c r="ED113" i="72"/>
  <c r="ED91" i="72"/>
  <c r="DZ110" i="72"/>
  <c r="DZ140" i="72"/>
  <c r="DZ76" i="72"/>
  <c r="DZ138" i="72"/>
  <c r="DZ152" i="72"/>
  <c r="DZ134" i="72"/>
  <c r="DZ116" i="72"/>
  <c r="DZ126" i="72"/>
  <c r="DZ150" i="72"/>
  <c r="DZ132" i="72"/>
  <c r="DZ130" i="72"/>
  <c r="DZ96" i="72"/>
  <c r="DZ88" i="72"/>
  <c r="DZ67" i="72"/>
  <c r="DZ142" i="72"/>
  <c r="DZ94" i="72"/>
  <c r="DZ84" i="72"/>
  <c r="DZ114" i="72"/>
  <c r="DZ70" i="72"/>
  <c r="DZ136" i="72"/>
  <c r="DZ82" i="72"/>
  <c r="DZ74" i="72"/>
  <c r="DZ65" i="72"/>
  <c r="DZ73" i="72"/>
  <c r="DZ66" i="72"/>
  <c r="DZ148" i="72"/>
  <c r="DZ80" i="72"/>
  <c r="DZ118" i="72"/>
  <c r="DZ104" i="72"/>
  <c r="DZ89" i="72"/>
  <c r="DZ81" i="72"/>
  <c r="DZ72" i="72"/>
  <c r="DZ64" i="72"/>
  <c r="DZ146" i="72"/>
  <c r="DZ112" i="72"/>
  <c r="DZ83" i="72"/>
  <c r="DZ122" i="72"/>
  <c r="DZ102" i="72"/>
  <c r="DZ87" i="72"/>
  <c r="DZ79" i="72"/>
  <c r="DZ71" i="72"/>
  <c r="DZ68" i="72"/>
  <c r="DZ128" i="72"/>
  <c r="DZ75" i="72"/>
  <c r="DZ90" i="72"/>
  <c r="DZ106" i="72"/>
  <c r="DZ100" i="72"/>
  <c r="DZ144" i="72"/>
  <c r="DZ98" i="72"/>
  <c r="DZ86" i="72"/>
  <c r="DZ78" i="72"/>
  <c r="DZ69" i="72"/>
  <c r="DZ92" i="72"/>
  <c r="DZ120" i="72"/>
  <c r="DZ85" i="72"/>
  <c r="DZ77" i="72"/>
  <c r="DZ124" i="72"/>
  <c r="DZ108" i="72"/>
  <c r="ED68" i="72" l="1"/>
  <c r="ED70" i="72"/>
  <c r="ED96" i="72"/>
  <c r="ED140" i="72"/>
  <c r="ED124" i="72"/>
  <c r="ED136" i="72"/>
  <c r="ED73" i="72"/>
  <c r="ED85" i="72"/>
  <c r="ED78" i="72"/>
  <c r="ED112" i="72"/>
  <c r="ED126" i="72"/>
  <c r="ED106" i="72"/>
  <c r="ED76" i="72"/>
  <c r="ED134" i="72"/>
  <c r="ED118" i="72"/>
  <c r="ED128" i="72"/>
  <c r="ED67" i="72"/>
  <c r="ED82" i="72"/>
  <c r="ED81" i="72"/>
  <c r="ED150" i="72"/>
  <c r="ED84" i="72"/>
  <c r="ED65" i="72"/>
  <c r="EY65" i="72" s="1"/>
  <c r="FA65" i="72" s="1"/>
  <c r="ED120" i="72"/>
  <c r="ED75" i="72"/>
  <c r="ED122" i="72"/>
  <c r="ED72" i="72"/>
  <c r="ED64" i="72"/>
  <c r="EY64" i="72" s="1"/>
  <c r="EZ64" i="72" s="1"/>
  <c r="ED142" i="72"/>
  <c r="ED79" i="72"/>
  <c r="ED71" i="72"/>
  <c r="ED144" i="72"/>
  <c r="ED83" i="72"/>
  <c r="ED110" i="72"/>
  <c r="ED80" i="72"/>
  <c r="ED116" i="72"/>
  <c r="ED100" i="72"/>
  <c r="ED87" i="72"/>
  <c r="ED98" i="72"/>
  <c r="ED66" i="72"/>
  <c r="EY66" i="72" s="1"/>
  <c r="EZ66" i="72" s="1"/>
  <c r="ED88" i="72"/>
  <c r="ED132" i="72"/>
  <c r="ED146" i="72"/>
  <c r="ED130" i="72"/>
  <c r="ED114" i="72"/>
  <c r="ED102" i="72"/>
  <c r="ED148" i="72"/>
  <c r="ED104" i="72"/>
  <c r="ED138" i="72"/>
  <c r="ED90" i="72"/>
  <c r="ED152" i="72"/>
  <c r="ED69" i="72"/>
  <c r="ED89" i="72"/>
  <c r="ED74" i="72"/>
  <c r="ED94" i="72"/>
  <c r="ED86" i="72"/>
  <c r="ED77" i="72"/>
  <c r="ED108" i="72"/>
  <c r="ED92" i="72"/>
  <c r="EI28" i="72"/>
  <c r="EH95" i="72"/>
  <c r="EH125" i="72"/>
  <c r="EH93" i="72"/>
  <c r="EH127" i="72"/>
  <c r="EH91" i="72"/>
  <c r="EH131" i="72"/>
  <c r="EH99" i="72"/>
  <c r="EH149" i="72"/>
  <c r="EH107" i="72"/>
  <c r="EH151" i="72"/>
  <c r="EH67" i="72"/>
  <c r="EH139" i="72"/>
  <c r="EH141" i="72"/>
  <c r="EH135" i="72"/>
  <c r="EH133" i="72"/>
  <c r="EH121" i="72"/>
  <c r="EH117" i="72"/>
  <c r="EH147" i="72"/>
  <c r="EH119" i="72"/>
  <c r="EH143" i="72"/>
  <c r="EH105" i="72"/>
  <c r="EH111" i="72"/>
  <c r="EH129" i="72"/>
  <c r="EH97" i="72"/>
  <c r="EH115" i="72"/>
  <c r="EH109" i="72"/>
  <c r="EH145" i="72"/>
  <c r="EH123" i="72"/>
  <c r="EE29" i="72"/>
  <c r="EH103" i="72"/>
  <c r="EH137" i="72"/>
  <c r="EH155" i="72"/>
  <c r="EH101" i="72"/>
  <c r="EH153" i="72"/>
  <c r="EH113" i="72"/>
  <c r="EH128" i="72" l="1"/>
  <c r="EH104" i="72"/>
  <c r="EH89" i="72"/>
  <c r="EH80" i="72"/>
  <c r="EH69" i="72"/>
  <c r="EH140" i="72"/>
  <c r="EH110" i="72"/>
  <c r="EH112" i="72"/>
  <c r="EH142" i="72"/>
  <c r="EH120" i="72"/>
  <c r="EH102" i="72"/>
  <c r="EH88" i="72"/>
  <c r="EH71" i="72"/>
  <c r="EH74" i="72"/>
  <c r="EH154" i="72"/>
  <c r="EH138" i="72"/>
  <c r="EH84" i="72"/>
  <c r="EH144" i="72"/>
  <c r="EH118" i="72"/>
  <c r="EH87" i="72"/>
  <c r="EH79" i="72"/>
  <c r="EH70" i="72"/>
  <c r="EH68" i="72"/>
  <c r="EH150" i="72"/>
  <c r="EH152" i="72"/>
  <c r="EH72" i="72"/>
  <c r="EH130" i="72"/>
  <c r="EH106" i="72"/>
  <c r="EH100" i="72"/>
  <c r="EH86" i="72"/>
  <c r="EH78" i="72"/>
  <c r="EH77" i="72"/>
  <c r="EH90" i="72"/>
  <c r="EH108" i="72"/>
  <c r="EH124" i="72"/>
  <c r="EH134" i="72"/>
  <c r="EH136" i="72"/>
  <c r="EH98" i="72"/>
  <c r="EH96" i="72"/>
  <c r="EH85" i="72"/>
  <c r="EH73" i="72"/>
  <c r="EH148" i="72"/>
  <c r="EH132" i="72"/>
  <c r="EH146" i="72"/>
  <c r="EH122" i="72"/>
  <c r="EH126" i="72"/>
  <c r="EH76" i="72"/>
  <c r="EH116" i="72"/>
  <c r="EH94" i="72"/>
  <c r="EH83" i="72"/>
  <c r="EH75" i="72"/>
  <c r="EH82" i="72"/>
  <c r="EH114" i="72"/>
  <c r="EH92" i="72"/>
  <c r="EH156" i="72"/>
  <c r="EH81" i="72"/>
  <c r="EQ28" i="72"/>
  <c r="EI29" i="72"/>
  <c r="EL91" i="72"/>
  <c r="EL99" i="72"/>
  <c r="EL149" i="72"/>
  <c r="EL145" i="72"/>
  <c r="EL117" i="72"/>
  <c r="EL147" i="72"/>
  <c r="EL127" i="72"/>
  <c r="EL93" i="72"/>
  <c r="EL137" i="72"/>
  <c r="EL129" i="72"/>
  <c r="EL97" i="72"/>
  <c r="EL155" i="72"/>
  <c r="EL133" i="72"/>
  <c r="EL151" i="72"/>
  <c r="EL141" i="72"/>
  <c r="EL109" i="72"/>
  <c r="EL105" i="72"/>
  <c r="EL135" i="72"/>
  <c r="EL121" i="72"/>
  <c r="EL107" i="72"/>
  <c r="EL153" i="72"/>
  <c r="EM28" i="72"/>
  <c r="EL131" i="72"/>
  <c r="EL101" i="72"/>
  <c r="EL115" i="72"/>
  <c r="EL111" i="72"/>
  <c r="EL139" i="72"/>
  <c r="EL113" i="72"/>
  <c r="EL143" i="72"/>
  <c r="EL95" i="72"/>
  <c r="EL103" i="72"/>
  <c r="EL125" i="72"/>
  <c r="EL119" i="72"/>
  <c r="EL67" i="72"/>
  <c r="EL123" i="72"/>
  <c r="EL128" i="72" l="1"/>
  <c r="EL142" i="72"/>
  <c r="EL124" i="72"/>
  <c r="EL108" i="72"/>
  <c r="EL122" i="72"/>
  <c r="EL72" i="72"/>
  <c r="EL98" i="72"/>
  <c r="EL87" i="72"/>
  <c r="EL140" i="72"/>
  <c r="EL154" i="72"/>
  <c r="EL138" i="72"/>
  <c r="EL80" i="72"/>
  <c r="EL114" i="72"/>
  <c r="EL144" i="72"/>
  <c r="EL156" i="72"/>
  <c r="EL79" i="72"/>
  <c r="EL68" i="72"/>
  <c r="EL88" i="72"/>
  <c r="EL130" i="72"/>
  <c r="EL132" i="72"/>
  <c r="EL81" i="72"/>
  <c r="EL150" i="72"/>
  <c r="EL136" i="72"/>
  <c r="EL102" i="72"/>
  <c r="EL146" i="72"/>
  <c r="EL134" i="72"/>
  <c r="EL104" i="72"/>
  <c r="EL100" i="72"/>
  <c r="EL74" i="72"/>
  <c r="EL118" i="72"/>
  <c r="EL148" i="72"/>
  <c r="EL73" i="72"/>
  <c r="EL69" i="72"/>
  <c r="EL76" i="72"/>
  <c r="EL152" i="72"/>
  <c r="EL120" i="72"/>
  <c r="EL70" i="72"/>
  <c r="EL89" i="72"/>
  <c r="EL77" i="72"/>
  <c r="EL83" i="72"/>
  <c r="EL75" i="72"/>
  <c r="EL82" i="72"/>
  <c r="EL71" i="72"/>
  <c r="EL78" i="72"/>
  <c r="EL96" i="72"/>
  <c r="EL85" i="72"/>
  <c r="EL94" i="72"/>
  <c r="EL84" i="72"/>
  <c r="EL90" i="72"/>
  <c r="EL86" i="72"/>
  <c r="EL112" i="72"/>
  <c r="EL126" i="72"/>
  <c r="EL110" i="72"/>
  <c r="EL92" i="72"/>
  <c r="EL106" i="72"/>
  <c r="EL116" i="72"/>
  <c r="ET97" i="72"/>
  <c r="ET113" i="72"/>
  <c r="ET129" i="72"/>
  <c r="ET145" i="72"/>
  <c r="ET99" i="72"/>
  <c r="ET115" i="72"/>
  <c r="ET131" i="72"/>
  <c r="ET147" i="72"/>
  <c r="ET101" i="72"/>
  <c r="ET117" i="72"/>
  <c r="ET133" i="72"/>
  <c r="ET149" i="72"/>
  <c r="ET103" i="72"/>
  <c r="ET119" i="72"/>
  <c r="ET135" i="72"/>
  <c r="ET151" i="72"/>
  <c r="ET69" i="72"/>
  <c r="ET105" i="72"/>
  <c r="ET121" i="72"/>
  <c r="ET137" i="72"/>
  <c r="ET153" i="72"/>
  <c r="ET91" i="72"/>
  <c r="ET107" i="72"/>
  <c r="ET123" i="72"/>
  <c r="ET139" i="72"/>
  <c r="ET155" i="72"/>
  <c r="ET93" i="72"/>
  <c r="ET109" i="72"/>
  <c r="ET125" i="72"/>
  <c r="ET141" i="72"/>
  <c r="ET157" i="72"/>
  <c r="ET95" i="72"/>
  <c r="ET111" i="72"/>
  <c r="ET127" i="72"/>
  <c r="ET143" i="72"/>
  <c r="EQ29" i="72"/>
  <c r="EU28" i="72"/>
  <c r="EP115" i="72"/>
  <c r="EP139" i="72"/>
  <c r="EP131" i="72"/>
  <c r="EP155" i="72"/>
  <c r="EM29" i="72"/>
  <c r="EP145" i="72"/>
  <c r="EP107" i="72"/>
  <c r="EP99" i="72"/>
  <c r="EP123" i="72"/>
  <c r="EP113" i="72"/>
  <c r="EP101" i="72"/>
  <c r="EP129" i="72"/>
  <c r="EP91" i="72"/>
  <c r="EP133" i="72"/>
  <c r="EP137" i="72"/>
  <c r="EP97" i="72"/>
  <c r="EP153" i="72"/>
  <c r="EP127" i="72"/>
  <c r="EP105" i="72"/>
  <c r="EP143" i="72"/>
  <c r="EP121" i="72"/>
  <c r="EP95" i="72"/>
  <c r="EP151" i="72"/>
  <c r="EP111" i="72"/>
  <c r="EP117" i="72"/>
  <c r="EP67" i="72"/>
  <c r="EY67" i="72" s="1"/>
  <c r="FA67" i="72" s="1"/>
  <c r="EP125" i="72"/>
  <c r="EP119" i="72"/>
  <c r="EP141" i="72"/>
  <c r="EP135" i="72"/>
  <c r="EP147" i="72"/>
  <c r="EP93" i="72"/>
  <c r="EP149" i="72"/>
  <c r="EP109" i="72"/>
  <c r="EP103" i="72"/>
  <c r="EX157" i="72" l="1"/>
  <c r="EY157" i="72" s="1"/>
  <c r="FA157" i="72" s="1"/>
  <c r="EX99" i="72"/>
  <c r="EY99" i="72" s="1"/>
  <c r="FA99" i="72" s="1"/>
  <c r="EX115" i="72"/>
  <c r="EY115" i="72" s="1"/>
  <c r="FA115" i="72" s="1"/>
  <c r="EX131" i="72"/>
  <c r="EY131" i="72" s="1"/>
  <c r="FA131" i="72" s="1"/>
  <c r="EX147" i="72"/>
  <c r="EY147" i="72" s="1"/>
  <c r="FA147" i="72" s="1"/>
  <c r="EX101" i="72"/>
  <c r="EY101" i="72" s="1"/>
  <c r="FA101" i="72" s="1"/>
  <c r="EX117" i="72"/>
  <c r="EY117" i="72" s="1"/>
  <c r="FA117" i="72" s="1"/>
  <c r="EX133" i="72"/>
  <c r="EY133" i="72" s="1"/>
  <c r="FA133" i="72" s="1"/>
  <c r="EX149" i="72"/>
  <c r="EY149" i="72" s="1"/>
  <c r="FA149" i="72" s="1"/>
  <c r="EX103" i="72"/>
  <c r="EY103" i="72" s="1"/>
  <c r="FA103" i="72" s="1"/>
  <c r="EX119" i="72"/>
  <c r="EY119" i="72" s="1"/>
  <c r="FA119" i="72" s="1"/>
  <c r="EX135" i="72"/>
  <c r="EY135" i="72" s="1"/>
  <c r="FA135" i="72" s="1"/>
  <c r="EX151" i="72"/>
  <c r="EY151" i="72" s="1"/>
  <c r="FA151" i="72" s="1"/>
  <c r="EX69" i="72"/>
  <c r="EX105" i="72"/>
  <c r="EY105" i="72" s="1"/>
  <c r="FA105" i="72" s="1"/>
  <c r="EX121" i="72"/>
  <c r="EY121" i="72" s="1"/>
  <c r="FA121" i="72" s="1"/>
  <c r="EX137" i="72"/>
  <c r="EY137" i="72" s="1"/>
  <c r="FA137" i="72" s="1"/>
  <c r="EX153" i="72"/>
  <c r="EY153" i="72" s="1"/>
  <c r="FA153" i="72" s="1"/>
  <c r="EX91" i="72"/>
  <c r="EY91" i="72" s="1"/>
  <c r="FA91" i="72" s="1"/>
  <c r="EX107" i="72"/>
  <c r="EY107" i="72" s="1"/>
  <c r="FA107" i="72" s="1"/>
  <c r="EX123" i="72"/>
  <c r="EY123" i="72" s="1"/>
  <c r="FA123" i="72" s="1"/>
  <c r="EX139" i="72"/>
  <c r="EY139" i="72" s="1"/>
  <c r="FA139" i="72" s="1"/>
  <c r="EX155" i="72"/>
  <c r="EY155" i="72" s="1"/>
  <c r="FA155" i="72" s="1"/>
  <c r="EX93" i="72"/>
  <c r="EY93" i="72" s="1"/>
  <c r="FA93" i="72" s="1"/>
  <c r="EX109" i="72"/>
  <c r="EY109" i="72" s="1"/>
  <c r="FA109" i="72" s="1"/>
  <c r="EX125" i="72"/>
  <c r="EY125" i="72" s="1"/>
  <c r="FA125" i="72" s="1"/>
  <c r="EX141" i="72"/>
  <c r="EY141" i="72" s="1"/>
  <c r="FA141" i="72" s="1"/>
  <c r="EU29" i="72"/>
  <c r="EX95" i="72"/>
  <c r="EY95" i="72" s="1"/>
  <c r="FA95" i="72" s="1"/>
  <c r="EX111" i="72"/>
  <c r="EY111" i="72" s="1"/>
  <c r="FA111" i="72" s="1"/>
  <c r="EX127" i="72"/>
  <c r="EY127" i="72" s="1"/>
  <c r="FA127" i="72" s="1"/>
  <c r="EX143" i="72"/>
  <c r="EY143" i="72" s="1"/>
  <c r="FA143" i="72" s="1"/>
  <c r="EX97" i="72"/>
  <c r="EY97" i="72" s="1"/>
  <c r="FA97" i="72" s="1"/>
  <c r="EX113" i="72"/>
  <c r="EY113" i="72" s="1"/>
  <c r="FA113" i="72" s="1"/>
  <c r="EX129" i="72"/>
  <c r="EY129" i="72" s="1"/>
  <c r="FA129" i="72" s="1"/>
  <c r="EX145" i="72"/>
  <c r="EY145" i="72" s="1"/>
  <c r="FA145" i="72" s="1"/>
  <c r="ET74" i="72"/>
  <c r="ET82" i="72"/>
  <c r="ET90" i="72"/>
  <c r="ET106" i="72"/>
  <c r="ET122" i="72"/>
  <c r="ET138" i="72"/>
  <c r="ET154" i="72"/>
  <c r="ET75" i="72"/>
  <c r="ET83" i="72"/>
  <c r="ET92" i="72"/>
  <c r="ET108" i="72"/>
  <c r="ET124" i="72"/>
  <c r="ET140" i="72"/>
  <c r="ET156" i="72"/>
  <c r="ET76" i="72"/>
  <c r="ET84" i="72"/>
  <c r="ET94" i="72"/>
  <c r="ET110" i="72"/>
  <c r="ET126" i="72"/>
  <c r="ET142" i="72"/>
  <c r="ET158" i="72"/>
  <c r="ET77" i="72"/>
  <c r="ET85" i="72"/>
  <c r="ET96" i="72"/>
  <c r="ET112" i="72"/>
  <c r="ET128" i="72"/>
  <c r="ET144" i="72"/>
  <c r="ET70" i="72"/>
  <c r="ET78" i="72"/>
  <c r="ET86" i="72"/>
  <c r="ET98" i="72"/>
  <c r="ET114" i="72"/>
  <c r="ET130" i="72"/>
  <c r="ET146" i="72"/>
  <c r="ET71" i="72"/>
  <c r="ET79" i="72"/>
  <c r="ET87" i="72"/>
  <c r="ET100" i="72"/>
  <c r="ET116" i="72"/>
  <c r="ET132" i="72"/>
  <c r="ET148" i="72"/>
  <c r="ET72" i="72"/>
  <c r="ET80" i="72"/>
  <c r="ET88" i="72"/>
  <c r="ET102" i="72"/>
  <c r="ET118" i="72"/>
  <c r="ET134" i="72"/>
  <c r="ET150" i="72"/>
  <c r="ET73" i="72"/>
  <c r="ET81" i="72"/>
  <c r="ET89" i="72"/>
  <c r="ET104" i="72"/>
  <c r="ET120" i="72"/>
  <c r="ET136" i="72"/>
  <c r="ET152" i="72"/>
  <c r="EP73" i="72"/>
  <c r="EP98" i="72"/>
  <c r="EP88" i="72"/>
  <c r="EP108" i="72"/>
  <c r="EP80" i="72"/>
  <c r="EP96" i="72"/>
  <c r="EP79" i="72"/>
  <c r="EP110" i="72"/>
  <c r="EP150" i="72"/>
  <c r="EP124" i="72"/>
  <c r="EP132" i="72"/>
  <c r="EP72" i="72"/>
  <c r="EP78" i="72"/>
  <c r="EP142" i="72"/>
  <c r="EP83" i="72"/>
  <c r="EP106" i="72"/>
  <c r="EP77" i="72"/>
  <c r="EP156" i="72"/>
  <c r="EP70" i="72"/>
  <c r="EP82" i="72"/>
  <c r="EP138" i="72"/>
  <c r="EP85" i="72"/>
  <c r="EP152" i="72"/>
  <c r="EP120" i="72"/>
  <c r="EP116" i="72"/>
  <c r="EP102" i="72"/>
  <c r="EP84" i="72"/>
  <c r="EP81" i="72"/>
  <c r="EP114" i="72"/>
  <c r="EP148" i="72"/>
  <c r="EP92" i="72"/>
  <c r="EP74" i="72"/>
  <c r="EP104" i="72"/>
  <c r="EP87" i="72"/>
  <c r="EP144" i="72"/>
  <c r="EP154" i="72"/>
  <c r="EP118" i="72"/>
  <c r="EP86" i="72"/>
  <c r="EP126" i="72"/>
  <c r="EP75" i="72"/>
  <c r="EP71" i="72"/>
  <c r="EP134" i="72"/>
  <c r="EP130" i="72"/>
  <c r="EP68" i="72"/>
  <c r="EY68" i="72" s="1"/>
  <c r="EZ68" i="72" s="1"/>
  <c r="EP112" i="72"/>
  <c r="EP94" i="72"/>
  <c r="EP76" i="72"/>
  <c r="EP136" i="72"/>
  <c r="EP89" i="72"/>
  <c r="EP146" i="72"/>
  <c r="EP69" i="72"/>
  <c r="EY69" i="72" s="1"/>
  <c r="FA69" i="72" s="1"/>
  <c r="EP140" i="72"/>
  <c r="EP100" i="72"/>
  <c r="EP128" i="72"/>
  <c r="EP90" i="72"/>
  <c r="EP122" i="72"/>
  <c r="EX158" i="72" l="1"/>
  <c r="EY158" i="72" s="1"/>
  <c r="EZ158" i="72" s="1"/>
  <c r="EX71" i="72"/>
  <c r="EY71" i="72" s="1"/>
  <c r="FA71" i="72" s="1"/>
  <c r="EX79" i="72"/>
  <c r="EY79" i="72" s="1"/>
  <c r="FA79" i="72" s="1"/>
  <c r="EX87" i="72"/>
  <c r="EY87" i="72" s="1"/>
  <c r="FA87" i="72" s="1"/>
  <c r="EX100" i="72"/>
  <c r="EY100" i="72" s="1"/>
  <c r="EZ100" i="72" s="1"/>
  <c r="EX116" i="72"/>
  <c r="EY116" i="72" s="1"/>
  <c r="EZ116" i="72" s="1"/>
  <c r="EX132" i="72"/>
  <c r="EY132" i="72" s="1"/>
  <c r="EZ132" i="72" s="1"/>
  <c r="EX148" i="72"/>
  <c r="EY148" i="72" s="1"/>
  <c r="EZ148" i="72" s="1"/>
  <c r="EX152" i="72"/>
  <c r="EY152" i="72" s="1"/>
  <c r="EZ152" i="72" s="1"/>
  <c r="EX144" i="72"/>
  <c r="EY144" i="72" s="1"/>
  <c r="EZ144" i="72" s="1"/>
  <c r="EX72" i="72"/>
  <c r="EY72" i="72" s="1"/>
  <c r="EZ72" i="72" s="1"/>
  <c r="EX80" i="72"/>
  <c r="EY80" i="72" s="1"/>
  <c r="EZ80" i="72" s="1"/>
  <c r="EX88" i="72"/>
  <c r="EY88" i="72" s="1"/>
  <c r="EZ88" i="72" s="1"/>
  <c r="EX102" i="72"/>
  <c r="EY102" i="72" s="1"/>
  <c r="EZ102" i="72" s="1"/>
  <c r="EX118" i="72"/>
  <c r="EY118" i="72" s="1"/>
  <c r="EZ118" i="72" s="1"/>
  <c r="EX134" i="72"/>
  <c r="EY134" i="72" s="1"/>
  <c r="EZ134" i="72" s="1"/>
  <c r="EX150" i="72"/>
  <c r="EY150" i="72" s="1"/>
  <c r="EZ150" i="72" s="1"/>
  <c r="EX74" i="72"/>
  <c r="EY74" i="72" s="1"/>
  <c r="EZ74" i="72" s="1"/>
  <c r="EX81" i="72"/>
  <c r="EY81" i="72" s="1"/>
  <c r="FA81" i="72" s="1"/>
  <c r="EX89" i="72"/>
  <c r="EY89" i="72" s="1"/>
  <c r="FA89" i="72" s="1"/>
  <c r="EX104" i="72"/>
  <c r="EY104" i="72" s="1"/>
  <c r="EZ104" i="72" s="1"/>
  <c r="EX120" i="72"/>
  <c r="EY120" i="72" s="1"/>
  <c r="EZ120" i="72" s="1"/>
  <c r="EX136" i="72"/>
  <c r="EY136" i="72" s="1"/>
  <c r="EZ136" i="72" s="1"/>
  <c r="EX128" i="72"/>
  <c r="EY128" i="72" s="1"/>
  <c r="EZ128" i="72" s="1"/>
  <c r="EX73" i="72"/>
  <c r="EY73" i="72" s="1"/>
  <c r="FA73" i="72" s="1"/>
  <c r="EX82" i="72"/>
  <c r="EY82" i="72" s="1"/>
  <c r="EZ82" i="72" s="1"/>
  <c r="EX90" i="72"/>
  <c r="EY90" i="72" s="1"/>
  <c r="EZ90" i="72" s="1"/>
  <c r="EX106" i="72"/>
  <c r="EY106" i="72" s="1"/>
  <c r="EZ106" i="72" s="1"/>
  <c r="EX122" i="72"/>
  <c r="EY122" i="72" s="1"/>
  <c r="EZ122" i="72" s="1"/>
  <c r="EX138" i="72"/>
  <c r="EY138" i="72" s="1"/>
  <c r="EZ138" i="72" s="1"/>
  <c r="EX154" i="72"/>
  <c r="EY154" i="72" s="1"/>
  <c r="EZ154" i="72" s="1"/>
  <c r="EX75" i="72"/>
  <c r="EY75" i="72" s="1"/>
  <c r="FA75" i="72" s="1"/>
  <c r="EX83" i="72"/>
  <c r="EY83" i="72" s="1"/>
  <c r="FA83" i="72" s="1"/>
  <c r="EX92" i="72"/>
  <c r="EY92" i="72" s="1"/>
  <c r="EZ92" i="72" s="1"/>
  <c r="EX108" i="72"/>
  <c r="EY108" i="72" s="1"/>
  <c r="EZ108" i="72" s="1"/>
  <c r="EX124" i="72"/>
  <c r="EY124" i="72" s="1"/>
  <c r="EZ124" i="72" s="1"/>
  <c r="EX140" i="72"/>
  <c r="EY140" i="72" s="1"/>
  <c r="EZ140" i="72" s="1"/>
  <c r="EX156" i="72"/>
  <c r="EY156" i="72" s="1"/>
  <c r="EZ156" i="72" s="1"/>
  <c r="EX94" i="72"/>
  <c r="EY94" i="72" s="1"/>
  <c r="EZ94" i="72" s="1"/>
  <c r="EX142" i="72"/>
  <c r="EY142" i="72" s="1"/>
  <c r="EZ142" i="72" s="1"/>
  <c r="EX76" i="72"/>
  <c r="EY76" i="72" s="1"/>
  <c r="EZ76" i="72" s="1"/>
  <c r="EX84" i="72"/>
  <c r="EY84" i="72" s="1"/>
  <c r="EZ84" i="72" s="1"/>
  <c r="EX110" i="72"/>
  <c r="EY110" i="72" s="1"/>
  <c r="EZ110" i="72" s="1"/>
  <c r="EX126" i="72"/>
  <c r="EY126" i="72" s="1"/>
  <c r="EZ126" i="72" s="1"/>
  <c r="EX77" i="72"/>
  <c r="EY77" i="72" s="1"/>
  <c r="FA77" i="72" s="1"/>
  <c r="EX85" i="72"/>
  <c r="EY85" i="72" s="1"/>
  <c r="FA85" i="72" s="1"/>
  <c r="EX96" i="72"/>
  <c r="EY96" i="72" s="1"/>
  <c r="EZ96" i="72" s="1"/>
  <c r="EX112" i="72"/>
  <c r="EY112" i="72" s="1"/>
  <c r="EZ112" i="72" s="1"/>
  <c r="EX70" i="72"/>
  <c r="EY70" i="72" s="1"/>
  <c r="EZ70" i="72" s="1"/>
  <c r="EX78" i="72"/>
  <c r="EY78" i="72" s="1"/>
  <c r="EZ78" i="72" s="1"/>
  <c r="EX86" i="72"/>
  <c r="EY86" i="72" s="1"/>
  <c r="EZ86" i="72" s="1"/>
  <c r="EX98" i="72"/>
  <c r="EY98" i="72" s="1"/>
  <c r="EZ98" i="72" s="1"/>
  <c r="EX114" i="72"/>
  <c r="EY114" i="72" s="1"/>
  <c r="EZ114" i="72" s="1"/>
  <c r="EX130" i="72"/>
  <c r="EY130" i="72" s="1"/>
  <c r="EZ130" i="72" s="1"/>
  <c r="EX146" i="72"/>
  <c r="EY146" i="72" s="1"/>
  <c r="EZ146" i="72" s="1"/>
  <c r="FB72" i="72" l="1"/>
  <c r="H304" i="48" s="1"/>
  <c r="E30" i="68" s="1"/>
  <c r="H30" i="68" s="1"/>
  <c r="F36" i="68" s="1"/>
  <c r="F37" i="68" l="1"/>
  <c r="I36" i="68"/>
  <c r="J36" i="68" s="1"/>
  <c r="F38" i="68" l="1"/>
  <c r="I37" i="68"/>
  <c r="J37" i="68" s="1"/>
  <c r="I38" i="68" l="1"/>
  <c r="J38" i="68" s="1"/>
  <c r="F39" i="68"/>
  <c r="I39" i="68" l="1"/>
  <c r="J39" i="68" s="1"/>
  <c r="F40" i="68"/>
  <c r="F41" i="68" l="1"/>
  <c r="I40" i="68"/>
  <c r="J40" i="68" s="1"/>
  <c r="I41" i="68" l="1"/>
  <c r="J41" i="68" s="1"/>
  <c r="F42" i="68"/>
  <c r="F43" i="68" l="1"/>
  <c r="I42" i="68"/>
  <c r="J42" i="68" s="1"/>
  <c r="F44" i="68" l="1"/>
  <c r="I43" i="68"/>
  <c r="J43" i="68" s="1"/>
  <c r="I44" i="68" l="1"/>
  <c r="J44" i="68" s="1"/>
  <c r="F45" i="68"/>
  <c r="F46" i="68" l="1"/>
  <c r="I45" i="68"/>
  <c r="J45" i="68" s="1"/>
  <c r="I46" i="68" l="1"/>
  <c r="J46" i="68" s="1"/>
  <c r="F47" i="68"/>
  <c r="I47" i="68" l="1"/>
  <c r="J47" i="68" s="1"/>
  <c r="J48" i="68" s="1"/>
  <c r="F48" i="68"/>
  <c r="F51" i="68" l="1"/>
  <c r="H51" i="68"/>
  <c r="H52" i="68" l="1"/>
  <c r="H53" i="68" s="1"/>
  <c r="H54" i="68" s="1"/>
  <c r="H55" i="68" s="1"/>
  <c r="H56" i="68" s="1"/>
  <c r="H57" i="68" s="1"/>
  <c r="H58" i="68" s="1"/>
  <c r="H59" i="68" s="1"/>
  <c r="H60" i="68" s="1"/>
  <c r="H61" i="68" s="1"/>
  <c r="H62" i="68" s="1"/>
  <c r="I51" i="68"/>
  <c r="F52" i="68" s="1"/>
  <c r="I52" i="68" l="1"/>
  <c r="F53" i="68" s="1"/>
  <c r="I53" i="68" s="1"/>
  <c r="F54" i="68" s="1"/>
  <c r="I54" i="68" s="1"/>
  <c r="F55" i="68" s="1"/>
  <c r="I55" i="68" s="1"/>
  <c r="F56" i="68" s="1"/>
  <c r="I56" i="68" s="1"/>
  <c r="F57" i="68" s="1"/>
  <c r="I57" i="68" s="1"/>
  <c r="F58" i="68" s="1"/>
  <c r="I58" i="68" s="1"/>
  <c r="F59" i="68" s="1"/>
  <c r="I59" i="68" s="1"/>
  <c r="F60" i="68" s="1"/>
  <c r="I60" i="68" s="1"/>
  <c r="F61" i="68" s="1"/>
  <c r="I61" i="68" s="1"/>
  <c r="F62" i="68" s="1"/>
  <c r="I62" i="68" s="1"/>
  <c r="H63" i="68"/>
  <c r="G224" i="65" l="1"/>
  <c r="I224" i="65" s="1"/>
  <c r="H303" i="48" s="1"/>
  <c r="H66" i="68"/>
  <c r="H68" i="68" s="1"/>
  <c r="H306" i="48" l="1"/>
  <c r="F235" i="65" s="1"/>
  <c r="I235" i="65" s="1"/>
  <c r="K235" i="65" l="1"/>
  <c r="K238" i="65" s="1"/>
  <c r="I238" i="65"/>
</calcChain>
</file>

<file path=xl/sharedStrings.xml><?xml version="1.0" encoding="utf-8"?>
<sst xmlns="http://schemas.openxmlformats.org/spreadsheetml/2006/main" count="5357" uniqueCount="1627">
  <si>
    <t>Q</t>
  </si>
  <si>
    <t>To accomodate varying in-service dates for different phases of these projects, it may be necessary to perform the above calculations by vintage.</t>
  </si>
  <si>
    <t>Lives shown above are illustrative only</t>
  </si>
  <si>
    <t>Federal Income</t>
  </si>
  <si>
    <t>Maryland Income</t>
  </si>
  <si>
    <t>Pennsylvania Income</t>
  </si>
  <si>
    <t>PSC Assessment</t>
  </si>
  <si>
    <t>Expense Items</t>
  </si>
  <si>
    <t>A&amp;G</t>
  </si>
  <si>
    <t>Less line 17g</t>
  </si>
  <si>
    <t>Attachment A Line #s, Descriptions, Notes, Form 1 Page #s and Instructions</t>
  </si>
  <si>
    <t>Environmental Surcharge</t>
  </si>
  <si>
    <t>Pole License</t>
  </si>
  <si>
    <t>Montgomery County Fuel Energy</t>
  </si>
  <si>
    <t>Universal Service Fund</t>
  </si>
  <si>
    <t>Total as reported on p. 263(i)</t>
  </si>
  <si>
    <t>Account 454 - Rent from Electric Property</t>
  </si>
  <si>
    <t>Total Rent Revenues</t>
  </si>
  <si>
    <t>Revenue Adjustment to determine Revenue Credit</t>
  </si>
  <si>
    <t>Transmission Related Account 242 Reserves (exclude current year environmental site related reserves)</t>
  </si>
  <si>
    <t xml:space="preserve">Net Plant Carrying Charge </t>
  </si>
  <si>
    <t>Net Plant Carrying Charge without Depreciation</t>
  </si>
  <si>
    <t>Net Plant Carrying Charge without Depreciation, Return, nor Income Taxes</t>
  </si>
  <si>
    <t>W Enhancement</t>
  </si>
  <si>
    <t>W/O Enhancement</t>
  </si>
  <si>
    <t>Net Plant Carrying Charge</t>
  </si>
  <si>
    <t>Net Plant Carrying Charge Calculation per 100 basis point increase in ROE</t>
  </si>
  <si>
    <t>Net Plant Carrying Charge per 100 basis point increase in ROE without Depreciation</t>
  </si>
  <si>
    <t xml:space="preserve">Net Plant Carrying Charge per 100 basis point increase in ROE </t>
  </si>
  <si>
    <t xml:space="preserve">Net Revenue Requirement per 100 basis point increase in ROE </t>
  </si>
  <si>
    <t xml:space="preserve">Return and Taxes per 100 basis point increase in ROE </t>
  </si>
  <si>
    <t>Appendix A % plus 100 Basis Pts</t>
  </si>
  <si>
    <t>Attachment 4 - Calculation of 100 Basis Point Increase in ROE</t>
  </si>
  <si>
    <t>Return and Taxes with 100 Basis Point increase in ROE</t>
  </si>
  <si>
    <t>100 Basis Point increase in ROE and Income Taxes</t>
  </si>
  <si>
    <t>Respondent is both Electric and Gas Utility. Plant allocated using the Modified</t>
  </si>
  <si>
    <t>See Line 7</t>
  </si>
  <si>
    <t>See Form 1</t>
  </si>
  <si>
    <t>EPRI Dues payed by Holding company (Constellation Energy)</t>
  </si>
  <si>
    <t>None</t>
  </si>
  <si>
    <t>Maryland</t>
  </si>
  <si>
    <t>Maryland Only</t>
  </si>
  <si>
    <t>BG&amp;E Zone</t>
  </si>
  <si>
    <t>Specific identification based on plant records</t>
  </si>
  <si>
    <t>PJM Zonal Peak Load per 34.1 of the PJM OATT</t>
  </si>
  <si>
    <t>Shaded cells are input cells</t>
  </si>
  <si>
    <t>Attachment 2 - Taxes Other Than Income Worksheet</t>
  </si>
  <si>
    <t>Attachment 3 - Revenue Credit Workpaper</t>
  </si>
  <si>
    <t>Attachment 5 - Cost Support</t>
  </si>
  <si>
    <t>Attachment 7 - Transmission Enhancement Charge Worksheet</t>
  </si>
  <si>
    <t>Attachment 6 - Estimate and True-up Worksheet</t>
  </si>
  <si>
    <t>Attachment 8 - Company Exhibit - Securitization Workpaper</t>
  </si>
  <si>
    <t>Attachment 6</t>
  </si>
  <si>
    <t>Attachment 1</t>
  </si>
  <si>
    <t>Attachment 8</t>
  </si>
  <si>
    <t>Attachment 5</t>
  </si>
  <si>
    <t>Attachment 3</t>
  </si>
  <si>
    <t>Attachment 4</t>
  </si>
  <si>
    <t>The FCR resulting from Formula in a given year is used for that year only.</t>
  </si>
  <si>
    <t>(Sum Line 1)</t>
  </si>
  <si>
    <t xml:space="preserve">Regulatory Commission Expenses directly related to transmission service, RTO filings, or transmission siting itemized in Form 1 at 351.h. </t>
  </si>
  <si>
    <t>All EPRI Annual Membership Dues</t>
  </si>
  <si>
    <t>(Sum Lines 2-10)</t>
  </si>
  <si>
    <t>ROE Incentive (Basis Points)</t>
  </si>
  <si>
    <t>Baltimore Gas and Electric Company</t>
  </si>
  <si>
    <t>p356.1</t>
  </si>
  <si>
    <t>Fuel Energy</t>
  </si>
  <si>
    <t>p117.62c through 67c</t>
  </si>
  <si>
    <t>p112.18d through 21d</t>
  </si>
  <si>
    <t>p111.81.c</t>
  </si>
  <si>
    <t>p113.61c</t>
  </si>
  <si>
    <t>Line 5</t>
  </si>
  <si>
    <t>p112.16c</t>
  </si>
  <si>
    <t>p112.12c</t>
  </si>
  <si>
    <t>p112.3c</t>
  </si>
  <si>
    <t>Costs associated with revenues in line 17a that are included in FERC accounts recovered through the formula times the allocator used to functionalize the amounts in the FERC account to the transmission service at issue.</t>
  </si>
  <si>
    <t>Electric / non-electric cost support above</t>
  </si>
  <si>
    <t>Transmission O&amp;M Reserves</t>
  </si>
  <si>
    <t>Enter Negative</t>
  </si>
  <si>
    <t xml:space="preserve">Prepayments </t>
  </si>
  <si>
    <t xml:space="preserve">      Less ADIT associated with Gain or Loss</t>
  </si>
  <si>
    <t>Facility Credits under Section 30.9 of the PJM OATT paid by Utility</t>
  </si>
  <si>
    <t xml:space="preserve">Attachment 5 </t>
  </si>
  <si>
    <t xml:space="preserve">Amount </t>
  </si>
  <si>
    <t>Difference</t>
  </si>
  <si>
    <t xml:space="preserve">Other taxes that are incurred through ownership of plant including transmission plant will be allocated based on the Gross Plant </t>
  </si>
  <si>
    <t>Allocator.  If the taxes are 100% recovered at retail they may not be included</t>
  </si>
  <si>
    <t>Other taxes that are incurred through ownership of only general or intangible plant will be allocated based on the Wages and Salary</t>
  </si>
  <si>
    <t>Other taxes that are assessed based on labor, will be allocated based on the Wages and Salary Allocator</t>
  </si>
  <si>
    <t>Gross Revenue Credits</t>
  </si>
  <si>
    <t>Total Revenue Credits</t>
  </si>
  <si>
    <t>17a</t>
  </si>
  <si>
    <t>17b</t>
  </si>
  <si>
    <t>Costs associated with revenues in line 17a</t>
  </si>
  <si>
    <t>17c</t>
  </si>
  <si>
    <t>17d</t>
  </si>
  <si>
    <t>17e</t>
  </si>
  <si>
    <t>17g</t>
  </si>
  <si>
    <t>Allocated to</t>
  </si>
  <si>
    <t>BG&amp;E</t>
  </si>
  <si>
    <t>Electric</t>
  </si>
  <si>
    <t>Gas</t>
  </si>
  <si>
    <t>Explanation of the method</t>
  </si>
  <si>
    <t xml:space="preserve">FERC Form 1.  Specifically, the ratio to distribute common regulated utility expenses to gas </t>
  </si>
  <si>
    <t xml:space="preserve">and electric is based on a modified version of the Massachusetts formula and is influenced by </t>
  </si>
  <si>
    <t>each line of business's share of total utility labor, depreciation, amortization, and taxes.  BGE</t>
  </si>
  <si>
    <t>has consistently used this approach to distribute common costs to the gas and electric lines</t>
  </si>
  <si>
    <t>during this interval.</t>
  </si>
  <si>
    <t>Point to Point Service revenues for which the load is not included in the divisor received by transmission owner</t>
  </si>
  <si>
    <r>
      <t>Net revenues associated with Network Integration Transmission Service (NITS) for which the load is not included in the divisor (difference between NITS credits from PJM and PJM NITS charges paid by Transmission Owner)</t>
    </r>
    <r>
      <rPr>
        <sz val="10"/>
        <color indexed="10"/>
        <rFont val="Arial"/>
        <family val="2"/>
      </rPr>
      <t xml:space="preserve"> </t>
    </r>
    <r>
      <rPr>
        <sz val="10"/>
        <rFont val="Arial"/>
        <family val="2"/>
      </rPr>
      <t>(Note 4)</t>
    </r>
  </si>
  <si>
    <t>See (Note J) on Appendix A</t>
  </si>
  <si>
    <t>Justification</t>
  </si>
  <si>
    <t>17f</t>
  </si>
  <si>
    <t>Line 17f less line 17a</t>
  </si>
  <si>
    <t>Instructions: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</si>
  <si>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</si>
  <si>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</si>
  <si>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</si>
  <si>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</si>
  <si>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</si>
  <si>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</si>
  <si>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</si>
  <si>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</si>
  <si>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Description of the Prepayments</t>
  </si>
  <si>
    <t>Total Account 454 and 456</t>
  </si>
  <si>
    <t>Amount offset in line 4 above</t>
  </si>
  <si>
    <t>Total Income Taxes</t>
  </si>
  <si>
    <t>Summary</t>
  </si>
  <si>
    <t>Net Property, Plant &amp; Equipment</t>
  </si>
  <si>
    <t>Taxes Other than Income</t>
  </si>
  <si>
    <t>Common Stock</t>
  </si>
  <si>
    <t>(Note P)</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</si>
  <si>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</si>
  <si>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</si>
  <si>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</si>
  <si>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</si>
  <si>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</si>
  <si>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</si>
  <si>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</si>
  <si>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</si>
  <si>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</si>
  <si>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</si>
  <si>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</si>
  <si>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</si>
  <si>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</si>
  <si>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</si>
  <si>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</si>
  <si>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p323.160b</t>
  </si>
  <si>
    <t>p323.162b</t>
  </si>
  <si>
    <t>Depreciation Expense</t>
  </si>
  <si>
    <t>Accumulated Depreciation (Total Electric Plant)</t>
  </si>
  <si>
    <t>Transmission Depreciation Expense</t>
  </si>
  <si>
    <t>Total Wages Expense</t>
  </si>
  <si>
    <t>p356</t>
  </si>
  <si>
    <t xml:space="preserve"> </t>
  </si>
  <si>
    <t>E</t>
  </si>
  <si>
    <t>A</t>
  </si>
  <si>
    <t>D</t>
  </si>
  <si>
    <t>G</t>
  </si>
  <si>
    <t>Preferred Stock</t>
  </si>
  <si>
    <t>K</t>
  </si>
  <si>
    <t>p354.21.b</t>
  </si>
  <si>
    <t>p354.28b</t>
  </si>
  <si>
    <t>p354.27b</t>
  </si>
  <si>
    <t>p321.112.b</t>
  </si>
  <si>
    <t>p321.96.b</t>
  </si>
  <si>
    <t>p323.185.b</t>
  </si>
  <si>
    <t>p323.189.b</t>
  </si>
  <si>
    <t>p323.191.b</t>
  </si>
  <si>
    <t>p323.189b</t>
  </si>
  <si>
    <t>Schedule 1A</t>
  </si>
  <si>
    <t>Other Taxes</t>
  </si>
  <si>
    <t>p207.95g</t>
  </si>
  <si>
    <t>p207.58.g</t>
  </si>
  <si>
    <t>(Notes A &amp; L)</t>
  </si>
  <si>
    <t>p266.h</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</si>
  <si>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</si>
  <si>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</si>
  <si>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</si>
  <si>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</si>
  <si>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</si>
  <si>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</si>
  <si>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</si>
  <si>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</si>
  <si>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</si>
  <si>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</si>
  <si>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</si>
  <si>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</si>
  <si>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(Note S)</t>
  </si>
  <si>
    <t xml:space="preserve">All Regulatory Commission Expenses </t>
  </si>
  <si>
    <t>General &amp; Common Expenses Allocated to Transmission</t>
  </si>
  <si>
    <t>Total Materials &amp; Supplies Allocated to Transmission</t>
  </si>
  <si>
    <t>Materials and Supplies</t>
  </si>
  <si>
    <t>Company Records</t>
  </si>
  <si>
    <t>P</t>
  </si>
  <si>
    <t>Accumulated Depreciation</t>
  </si>
  <si>
    <t>Prepayments</t>
  </si>
  <si>
    <t>Cash Working Capital</t>
  </si>
  <si>
    <t>Allocators</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</si>
  <si>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</si>
  <si>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</si>
  <si>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</si>
  <si>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</si>
  <si>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</si>
  <si>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</si>
  <si>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</si>
  <si>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</si>
  <si>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Less extraordinary property losses</t>
  </si>
  <si>
    <t>Extraordinary Property Loss</t>
  </si>
  <si>
    <t>Number of years</t>
  </si>
  <si>
    <t>w/ interest</t>
  </si>
  <si>
    <t xml:space="preserve">     Plus Schedule 12 payments billed to Transmission Owner and booked to Account 565</t>
  </si>
  <si>
    <t>Securitization bonds may be included in the capital structure per settlement in ER05-515.</t>
  </si>
  <si>
    <t>As provided for in Section 34.1 of the PJM OATT and the PJM established billing determinants will not be revised or updated in the annual rate reconciliations per settlement in ER05-515.</t>
  </si>
  <si>
    <t>Plus any increased ROE calculated on Attachment 7 other than PJM Sch. 12 projects</t>
  </si>
  <si>
    <t>Attachment 7</t>
  </si>
  <si>
    <t>Schedule 12</t>
  </si>
  <si>
    <t>Account 456 - Other Electric Revenues (Note 1)</t>
  </si>
  <si>
    <t>Net Revenues (17a - 17b)</t>
  </si>
  <si>
    <t>50% Share of Net Revenues (17c/2)</t>
  </si>
  <si>
    <t>Net Revenue Credit (17d + 17e)</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</si>
  <si>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</si>
  <si>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may be weighted average of small projects</t>
  </si>
  <si>
    <t>Rent from Electric Property - Transmission Related (Note 3)</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</si>
  <si>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</si>
  <si>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</si>
  <si>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</si>
  <si>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</si>
  <si>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</si>
  <si>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Total Electric Administrative &amp; General Cost Support</t>
  </si>
  <si>
    <t>Merger Costs</t>
  </si>
  <si>
    <t>Not Merger Related</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</si>
  <si>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utilize lines 17a - 17g, the utility must track in separate subaccounts the revenues and costs associated with each secondary use (except for the cost of the associated income taxes).</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</si>
  <si>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</si>
  <si>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</si>
  <si>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</si>
  <si>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</si>
  <si>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</si>
  <si>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</si>
  <si>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</si>
  <si>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</si>
  <si>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</si>
  <si>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</si>
  <si>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</si>
  <si>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</si>
  <si>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</si>
  <si>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</si>
  <si>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 Allocated to Transmission</t>
  </si>
  <si>
    <t>SIT=State Income Tax Rate or Composite</t>
  </si>
  <si>
    <t>FIT=Federal Income Tax Rate</t>
  </si>
  <si>
    <t>Investment Return = Rate Base * Rate of Return</t>
  </si>
  <si>
    <t>Income Tax Rates</t>
  </si>
  <si>
    <t>Preferred Dividends</t>
  </si>
  <si>
    <t>p118.29c</t>
  </si>
  <si>
    <t>p227.6c &amp; 15.c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</si>
  <si>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</si>
  <si>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</si>
  <si>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</si>
  <si>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</si>
  <si>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</si>
  <si>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</si>
  <si>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</si>
  <si>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</si>
  <si>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</si>
  <si>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</si>
  <si>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</si>
  <si>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</si>
  <si>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</si>
  <si>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</si>
  <si>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</si>
  <si>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</si>
  <si>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</si>
  <si>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NOTES:</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</si>
  <si>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</si>
  <si>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</si>
  <si>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</si>
  <si>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</si>
  <si>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</si>
  <si>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</si>
  <si>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</si>
  <si>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</si>
  <si>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</si>
  <si>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</si>
  <si>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</si>
  <si>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 xml:space="preserve"> enter positive</t>
  </si>
  <si>
    <t xml:space="preserve">     CIT=(T/1-T) * Investment Return * (1-(WCLTD/R)) =</t>
  </si>
  <si>
    <t>Plant Allocation Factors</t>
  </si>
  <si>
    <t>Wage &amp; Salary Allocation Factor</t>
  </si>
  <si>
    <t>1/8th Rule</t>
  </si>
  <si>
    <t>TOTAL Adjustment to Rate Base</t>
  </si>
  <si>
    <t>General Depreciation</t>
  </si>
  <si>
    <t>(Note T)</t>
  </si>
  <si>
    <t>Total</t>
  </si>
  <si>
    <t>B</t>
  </si>
  <si>
    <t>Proprietary Capital</t>
  </si>
  <si>
    <t>Operation &amp; Maintenance Expense</t>
  </si>
  <si>
    <t>(Note A)</t>
  </si>
  <si>
    <t>(Note C)</t>
  </si>
  <si>
    <t>(Note L)</t>
  </si>
  <si>
    <t>Prepayments (Account 165)</t>
  </si>
  <si>
    <t>Total Transmission Allocated</t>
  </si>
  <si>
    <t>Transmission Accumulated Depreciation</t>
  </si>
  <si>
    <t>Electric Plant in Service</t>
  </si>
  <si>
    <t>Investment Return</t>
  </si>
  <si>
    <t>Income Taxes</t>
  </si>
  <si>
    <t>Gross Revenue Requirement</t>
  </si>
  <si>
    <t xml:space="preserve">    Less EPRI Dues</t>
  </si>
  <si>
    <t>Subtotal - Transmission Related</t>
  </si>
  <si>
    <t>T/ (1-T)</t>
  </si>
  <si>
    <t>Notes</t>
  </si>
  <si>
    <t>Accumulated Intangible Amortization</t>
  </si>
  <si>
    <t>Accumulated Common Plant Depreciation - Electric</t>
  </si>
  <si>
    <t>Allocator</t>
  </si>
  <si>
    <t>p214</t>
  </si>
  <si>
    <t>p110.46d</t>
  </si>
  <si>
    <t>x 1/8</t>
  </si>
  <si>
    <t>enter negative</t>
  </si>
  <si>
    <t>Fixed</t>
  </si>
  <si>
    <t>(Note Q)</t>
  </si>
  <si>
    <t>T</t>
  </si>
  <si>
    <t>Net Revenue Requirement</t>
  </si>
  <si>
    <t>O&amp;M</t>
  </si>
  <si>
    <t xml:space="preserve">     Less Account 565</t>
  </si>
  <si>
    <t>p200.21c</t>
  </si>
  <si>
    <t>Electric portion only</t>
  </si>
  <si>
    <t>Transmission Portion Only</t>
  </si>
  <si>
    <t>(Notes A &amp; B)</t>
  </si>
  <si>
    <t>Accumulated Investment Tax Credit Account No. 255</t>
  </si>
  <si>
    <t xml:space="preserve">    Less Property Insurance Account 924</t>
  </si>
  <si>
    <t xml:space="preserve">    Less Regulatory Commission Exp Account 928</t>
  </si>
  <si>
    <t xml:space="preserve">    Less General Advertising Exp Account 930.1</t>
  </si>
  <si>
    <t>(Note G)</t>
  </si>
  <si>
    <t>Regulatory Commission Exp Account 928</t>
  </si>
  <si>
    <t>General Advertising Exp Account 930.1</t>
  </si>
  <si>
    <t>Property Insurance Account 924</t>
  </si>
  <si>
    <t>(Note I)</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</si>
  <si>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</si>
  <si>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</si>
  <si>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</si>
  <si>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</si>
  <si>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</si>
  <si>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</si>
  <si>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</si>
  <si>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</si>
  <si>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</si>
  <si>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</si>
  <si>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</si>
  <si>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</si>
  <si>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</si>
  <si>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</si>
  <si>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ADIT-283</t>
  </si>
  <si>
    <t>Miscellaneous</t>
  </si>
  <si>
    <t>Franchise</t>
  </si>
  <si>
    <t>PURTA</t>
  </si>
  <si>
    <t>Capital Stock Tax</t>
  </si>
  <si>
    <t>Corp License</t>
  </si>
  <si>
    <t>Accumulated Deferred Income Taxes</t>
  </si>
  <si>
    <t xml:space="preserve">Safety related advertising included in Account 930.1  </t>
  </si>
  <si>
    <t xml:space="preserve">Education and outreach expenses relating to transmission, for example siting or billing </t>
  </si>
  <si>
    <t>(Note B)</t>
  </si>
  <si>
    <t xml:space="preserve">Plant </t>
  </si>
  <si>
    <t>Related</t>
  </si>
  <si>
    <t>Labor</t>
  </si>
  <si>
    <t>Only</t>
  </si>
  <si>
    <t>Instructions for Account 190:</t>
  </si>
  <si>
    <t>Instructions for Account 283:</t>
  </si>
  <si>
    <t>Instructions for Account 282:</t>
  </si>
  <si>
    <t>Plant Related</t>
  </si>
  <si>
    <t>Page 263</t>
  </si>
  <si>
    <t>Col (i)</t>
  </si>
  <si>
    <t>Gross Premium (insurance) Tax</t>
  </si>
  <si>
    <t>Labor Related</t>
  </si>
  <si>
    <t>Other Included</t>
  </si>
  <si>
    <t>Total Plant Related</t>
  </si>
  <si>
    <t>Total Labor Related</t>
  </si>
  <si>
    <t>Total Other Included</t>
  </si>
  <si>
    <t>Currently Excluded</t>
  </si>
  <si>
    <t>Allocated</t>
  </si>
  <si>
    <t>Amount</t>
  </si>
  <si>
    <t>Total Included</t>
  </si>
  <si>
    <t xml:space="preserve">      Less Loss on Reacquired Debt </t>
  </si>
  <si>
    <t xml:space="preserve">      Plus Gain on Reacquired Debt</t>
  </si>
  <si>
    <t>enter positive</t>
  </si>
  <si>
    <t>Plant Held for Future Use (Including Land)</t>
  </si>
  <si>
    <t>Line #</t>
  </si>
  <si>
    <t>Note</t>
  </si>
  <si>
    <t>Project A</t>
  </si>
  <si>
    <t>Life</t>
  </si>
  <si>
    <t>CIAC</t>
  </si>
  <si>
    <t>Details</t>
  </si>
  <si>
    <t>Invest Yr</t>
  </si>
  <si>
    <t>ROE Incentive</t>
  </si>
  <si>
    <t>No</t>
  </si>
  <si>
    <t>Yes</t>
  </si>
  <si>
    <t>W Incentive</t>
  </si>
  <si>
    <t>FCR if a CIAC</t>
  </si>
  <si>
    <t>FCR if not a CIAC</t>
  </si>
  <si>
    <t>FCR for This Project</t>
  </si>
  <si>
    <t xml:space="preserve">Line B less Line A </t>
  </si>
  <si>
    <t>Investment</t>
  </si>
  <si>
    <t>Annual Depreciation Exp</t>
  </si>
  <si>
    <t>Excludes prior period adjustments in the first year of the formula's operation and reconciliation for the first year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</si>
  <si>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</si>
  <si>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</si>
  <si>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</si>
  <si>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</si>
  <si>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</si>
  <si>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FCR W/O Incentive</t>
  </si>
  <si>
    <t>Revenue</t>
  </si>
  <si>
    <t>Beginning</t>
  </si>
  <si>
    <t>Depreciation</t>
  </si>
  <si>
    <t>Ending</t>
  </si>
  <si>
    <t>Project B</t>
  </si>
  <si>
    <t>Project C</t>
  </si>
  <si>
    <t>Project D</t>
  </si>
  <si>
    <t>Project E</t>
  </si>
  <si>
    <t>Project F</t>
  </si>
  <si>
    <t>Project G</t>
  </si>
  <si>
    <t>Project H</t>
  </si>
  <si>
    <t>Project I</t>
  </si>
  <si>
    <t>….</t>
  </si>
  <si>
    <t>…..</t>
  </si>
  <si>
    <t>Incentive Charged</t>
  </si>
  <si>
    <t>Revenue Credit</t>
  </si>
  <si>
    <t>Formula Line</t>
  </si>
  <si>
    <t>Real property (State, Municipal or Local)</t>
  </si>
  <si>
    <t>New Plant Carrying Charge</t>
  </si>
  <si>
    <t>W/O Incentive</t>
  </si>
  <si>
    <t xml:space="preserve">      Less LTD on Securitization Bonds</t>
  </si>
  <si>
    <t>SIT for Year</t>
  </si>
  <si>
    <t>Per State Tax Code</t>
  </si>
  <si>
    <t>Network Credits</t>
  </si>
  <si>
    <t>Outstanding Network Credits</t>
  </si>
  <si>
    <t>Net Outstanding Credits</t>
  </si>
  <si>
    <t>From PJM</t>
  </si>
  <si>
    <t>Interest on Network Credits</t>
  </si>
  <si>
    <t>PJM Data</t>
  </si>
  <si>
    <t>Revenue Credits &amp; Interest on Network Credits</t>
  </si>
  <si>
    <t>Network Zonal Service Rate</t>
  </si>
  <si>
    <t>Net Zonal Revenue Requirement</t>
  </si>
  <si>
    <t>Max (p401.29 to 40d)</t>
  </si>
  <si>
    <t>PJM Formula Line #s, Descriptions, Notes, Form 1 Page #s and Instructions</t>
  </si>
  <si>
    <t>Electric Portion</t>
  </si>
  <si>
    <t>EPRI Dues</t>
  </si>
  <si>
    <t>Outstanding Network Credits Worksheet</t>
  </si>
  <si>
    <t>Education and Out Reach Worksheet</t>
  </si>
  <si>
    <t>Excluded Plant Worksheet</t>
  </si>
  <si>
    <t>EPRI Dues Worksheet</t>
  </si>
  <si>
    <t>Electric / Non-electric Worksheet</t>
  </si>
  <si>
    <t>Transmission / Non-transmission Worksheet</t>
  </si>
  <si>
    <t>MultiState Workpaper</t>
  </si>
  <si>
    <t>X</t>
  </si>
  <si>
    <t>PJM Load Worksheet</t>
  </si>
  <si>
    <t>Regulatory Expense Related to Transmission Worksheet</t>
  </si>
  <si>
    <t>(Note H)</t>
  </si>
  <si>
    <t>(Line 11)</t>
  </si>
  <si>
    <t>(Line 12)</t>
  </si>
  <si>
    <t>Form 1 Amount</t>
  </si>
  <si>
    <t>Non-electric  Portion</t>
  </si>
  <si>
    <t>Enter Details</t>
  </si>
  <si>
    <t>Enter</t>
  </si>
  <si>
    <t>Transmission Related</t>
  </si>
  <si>
    <t>Expensed Lease in Form 1 Amount</t>
  </si>
  <si>
    <t>Safety Related</t>
  </si>
  <si>
    <t>Enter State</t>
  </si>
  <si>
    <t>Enter %</t>
  </si>
  <si>
    <t>Enter Calculation</t>
  </si>
  <si>
    <t>State 1</t>
  </si>
  <si>
    <t>State 2</t>
  </si>
  <si>
    <t>State 3</t>
  </si>
  <si>
    <t>State 4</t>
  </si>
  <si>
    <t>State 5</t>
  </si>
  <si>
    <t>Education &amp; Outreach</t>
  </si>
  <si>
    <t>Other</t>
  </si>
  <si>
    <t>Enter $</t>
  </si>
  <si>
    <t>Description of the Facilities</t>
  </si>
  <si>
    <t>Enter  Total $</t>
  </si>
  <si>
    <t>Add more lines if necessary</t>
  </si>
  <si>
    <t>General Description of the Facilities</t>
  </si>
  <si>
    <t>Specific Description of the Facility</t>
  </si>
  <si>
    <t>General Description of the Credits</t>
  </si>
  <si>
    <t>Specific Description of the Credits</t>
  </si>
  <si>
    <t>Description of the Credits</t>
  </si>
  <si>
    <t xml:space="preserve">Description &amp; PJM Documentation </t>
  </si>
  <si>
    <t>Interest on Outstanding Network Credits Worksheet</t>
  </si>
  <si>
    <t>Description of the Interest on the Credits</t>
  </si>
  <si>
    <t>Specific 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</si>
  <si>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</si>
  <si>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</si>
  <si>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</si>
  <si>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</si>
  <si>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</si>
  <si>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</si>
  <si>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</si>
  <si>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</si>
  <si>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</si>
  <si>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</si>
  <si>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</si>
  <si>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Net Revenue Requirement Less Return and Taxes</t>
  </si>
  <si>
    <t>In Service Month (1-12)</t>
  </si>
  <si>
    <t>Step</t>
  </si>
  <si>
    <t>Month</t>
  </si>
  <si>
    <t>April</t>
  </si>
  <si>
    <t>May</t>
  </si>
  <si>
    <t>June</t>
  </si>
  <si>
    <t>Jan</t>
  </si>
  <si>
    <t>Feb</t>
  </si>
  <si>
    <t>Mar</t>
  </si>
  <si>
    <t>Apr</t>
  </si>
  <si>
    <t>Jun</t>
  </si>
  <si>
    <t>Jul</t>
  </si>
  <si>
    <t>Aug</t>
  </si>
  <si>
    <t>Sep</t>
  </si>
  <si>
    <t>Oct</t>
  </si>
  <si>
    <t>Nov</t>
  </si>
  <si>
    <t>Dec</t>
  </si>
  <si>
    <t>Interest on Amount of Refunds or Surcharges</t>
  </si>
  <si>
    <t>Yr</t>
  </si>
  <si>
    <t>1/12 of Step 9</t>
  </si>
  <si>
    <t>Interest 35.19a for</t>
  </si>
  <si>
    <t>Interest</t>
  </si>
  <si>
    <t>Refunds Owed</t>
  </si>
  <si>
    <t>March Current Yr</t>
  </si>
  <si>
    <t>Months</t>
  </si>
  <si>
    <t>Balance</t>
  </si>
  <si>
    <t>Amort</t>
  </si>
  <si>
    <t>Total Transmission Plant In Service</t>
  </si>
  <si>
    <t xml:space="preserve">    Less Accumulated Depreciation Associated with Facilities with Outstanding Network Credits</t>
  </si>
  <si>
    <t>Safety Related Advertising Worksheet</t>
  </si>
  <si>
    <t>Non-transmission Related</t>
  </si>
  <si>
    <t>CWIP In Form 1 Amount</t>
  </si>
  <si>
    <t>Non-safety Related</t>
  </si>
  <si>
    <t>Draft - Work in Progress</t>
  </si>
  <si>
    <t>Exhibit E - Cap Add Worksheet</t>
  </si>
  <si>
    <t>Cost Support Matrix                                                                                                                                                                          PJM Formula Line #s, Descriptions, Notes, Form 1 Page #s and Instructions</t>
  </si>
  <si>
    <t>Electric / Non-electric Cost Support</t>
  </si>
  <si>
    <t>CWIP &amp; Expensed Lease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</si>
  <si>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</si>
  <si>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</si>
  <si>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</si>
  <si>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</si>
  <si>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</si>
  <si>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</si>
  <si>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</si>
  <si>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</si>
  <si>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MultiState Cost Support</t>
  </si>
  <si>
    <t>Interest on Outstanding Network Credits Cost Support</t>
  </si>
  <si>
    <t xml:space="preserve">  Rate Formula Template, since they are recovered elsewhere.</t>
  </si>
  <si>
    <t>CWIP &amp; Expensed Lease Worksheet</t>
  </si>
  <si>
    <t>Return Calculation</t>
  </si>
  <si>
    <t>O</t>
  </si>
  <si>
    <t>The FCR resulting from Formula in a given year is used for that year only</t>
  </si>
  <si>
    <t>Therefore actual revenues collected in a year do not change based on cost data for subsequent years</t>
  </si>
  <si>
    <t>Interest 35.19a for March Current Yr</t>
  </si>
  <si>
    <t>ADITC-255</t>
  </si>
  <si>
    <t>Amortization</t>
  </si>
  <si>
    <t>Criteria for Allocation:</t>
  </si>
  <si>
    <t>FN1 #</t>
  </si>
  <si>
    <t>Transmission Related Account 242 Reserves</t>
  </si>
  <si>
    <t>Allocation</t>
  </si>
  <si>
    <t>Directly Assignable to Transmission</t>
  </si>
  <si>
    <t>Labor Related, General plant related or Common Plant related</t>
  </si>
  <si>
    <t>Attachment 5a - Allocations of Costs to Affiliates</t>
  </si>
  <si>
    <t>Total with interest</t>
  </si>
  <si>
    <t>ATTACHMENT H-2A</t>
  </si>
  <si>
    <t>Revenues included in lines 1-11 which are subject to 50/50 sharing</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</si>
  <si>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</si>
  <si>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True-up amount</t>
  </si>
  <si>
    <t>Amount of transmission plant excluded from rates, includes investment in generation step-up transformers to the extent included in Plant in Service.</t>
  </si>
  <si>
    <t>Calculation of the above Securitization Adjustments</t>
  </si>
  <si>
    <t xml:space="preserve">Taxes Other than Income                                                    </t>
  </si>
  <si>
    <t>Formula Rate</t>
  </si>
  <si>
    <t>FERC Form 1  Page # or Instruction</t>
  </si>
  <si>
    <t>(Yes or No)</t>
  </si>
  <si>
    <t>Current Period Changes in Transmission Related Account 242 Reserves</t>
  </si>
  <si>
    <t>Transmission Amortization Expense</t>
  </si>
  <si>
    <t>In  the event the facilities associated with the directly assigned transmission charge are abandoned:</t>
  </si>
  <si>
    <t xml:space="preserve">The Dedicated Facility Project- Abandonment revenue requirement grid(s) shown above reflect the revenue requirements associated with the abandonment costs regulatory </t>
  </si>
  <si>
    <t xml:space="preserve">asset as it pertains to the directly assigned transmission charge.  The revenue requirement associated with these abandonment costs in any given year is included on </t>
  </si>
  <si>
    <t xml:space="preserve">Revenue Requirement").  In this way BGE's wholesale transmission customers are insulated from any revenue requirement effect associated with abandonment costs </t>
  </si>
  <si>
    <t>related to the directly assigned facility charge, should such abandonment costs ever arise.</t>
  </si>
  <si>
    <t xml:space="preserve">line 152 of Attachment H-2A ("the Gross Revenue Requirement") of BGE's formula rate model.  This same revenue requirement is in turn credited on line 159 of Attachment </t>
  </si>
  <si>
    <t xml:space="preserve">H-2A ("Revenue Credits") such that abandonment costs related to this directly assigned transmission charge has no impact on Attachment H-2A, line 161 ("Net </t>
  </si>
  <si>
    <t>44a</t>
  </si>
  <si>
    <t>(Line 45)</t>
  </si>
  <si>
    <t>(Line 84)</t>
  </si>
  <si>
    <t>(Line 55 - 56)</t>
  </si>
  <si>
    <t>(Line 39 + 58)</t>
  </si>
  <si>
    <t>(Lines 60 - 61 + 62 - 63 + 64 + 65)</t>
  </si>
  <si>
    <t>(Lines 67 + 68) -  Sum (69 to 72)</t>
  </si>
  <si>
    <t>(Line 73 * 74)</t>
  </si>
  <si>
    <t>(Line 76 + 77)</t>
  </si>
  <si>
    <t>(Line 79 + 80)</t>
  </si>
  <si>
    <t>(Line 81 * 82)</t>
  </si>
  <si>
    <t>(Line 66 + 75 + 78 + 83)</t>
  </si>
  <si>
    <t>85a</t>
  </si>
  <si>
    <t>(Line 86 + 87)</t>
  </si>
  <si>
    <t>(Line 88 * 89)</t>
  </si>
  <si>
    <t>(Line 91 + 92)</t>
  </si>
  <si>
    <t>(Line 93 * 94)</t>
  </si>
  <si>
    <t>(Line 85 + 85a + 90 + 95)</t>
  </si>
  <si>
    <t>(Line 97)</t>
  </si>
  <si>
    <t>(Line 99 - 100)</t>
  </si>
  <si>
    <t>(Line 192)</t>
  </si>
  <si>
    <t>(Sum Lines 107 to 111)</t>
  </si>
  <si>
    <t>(Line 106)</t>
  </si>
  <si>
    <t>(Sum Lines 112 to 114)</t>
  </si>
  <si>
    <t>(Line 112 / 115)</t>
  </si>
  <si>
    <t>(Line 113 / 115)</t>
  </si>
  <si>
    <t>(Line 114 / 115)</t>
  </si>
  <si>
    <t>(Line 101 / 112)</t>
  </si>
  <si>
    <t>(Line 102 / 113)</t>
  </si>
  <si>
    <t>(Line 116 * 119)</t>
  </si>
  <si>
    <t>(Line 117 * 120)</t>
  </si>
  <si>
    <t>(Line 118 * 121)</t>
  </si>
  <si>
    <t>(Sum Lines 122 to 124)</t>
  </si>
  <si>
    <t>(Line 59 * 125)</t>
  </si>
  <si>
    <t>(Line 58)</t>
  </si>
  <si>
    <t>(Line 59)</t>
  </si>
  <si>
    <t>(Line 96)</t>
  </si>
  <si>
    <t>(Line 98)</t>
  </si>
  <si>
    <t>(Line 126)</t>
  </si>
  <si>
    <t>(Line 137)</t>
  </si>
  <si>
    <t>(Sum Lines 141 to 145)</t>
  </si>
  <si>
    <t>(Line 19)</t>
  </si>
  <si>
    <t>(Line 147 - 148)</t>
  </si>
  <si>
    <t>(Line 149 / 147)</t>
  </si>
  <si>
    <t>(Line 146)</t>
  </si>
  <si>
    <t>(Line 150 * 151)</t>
  </si>
  <si>
    <t>(Line 152 - 153 + 154)</t>
  </si>
  <si>
    <t>(Line 155)</t>
  </si>
  <si>
    <t>(Line 156 / 157)</t>
  </si>
  <si>
    <t>(Line 156 - 85) / 157</t>
  </si>
  <si>
    <t>(Line 156 - 85 - 126 - 137) / 157</t>
  </si>
  <si>
    <t>(Line 155 - 144 - 145)</t>
  </si>
  <si>
    <t>(Line 161 + 162)</t>
  </si>
  <si>
    <t>(Line 163 / 164)</t>
  </si>
  <si>
    <t>(Line 162 - 85) / 164</t>
  </si>
  <si>
    <t>(Line 167 + 168 + 169+ 170)</t>
  </si>
  <si>
    <t>(Line 171 / 172)</t>
  </si>
  <si>
    <t>(Line 173)</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</si>
  <si>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172 of Appendix A.</t>
  </si>
  <si>
    <t>(Line 126 + Line 137)</t>
  </si>
  <si>
    <t>Abandonment Transmission Projects</t>
  </si>
  <si>
    <t>Unamortized Abandoned Transmission Projects</t>
  </si>
  <si>
    <t>(Line 43 + 44 + 44a + 46 + 51 + 54 - 57)</t>
  </si>
  <si>
    <t>Net Transmission Plant and Abandoned Plant</t>
  </si>
  <si>
    <t>(Line 19 - 30 + 44a)</t>
  </si>
  <si>
    <t>R</t>
  </si>
  <si>
    <t>Dedicated Facility Project - Abandonment Costs</t>
  </si>
  <si>
    <t>The revenue requirement associated with this project in any given year is included on line 146 of Attachment H-2A ("the Gross Revenue Requirement") of BGE's formula rate model.</t>
  </si>
  <si>
    <t xml:space="preserve">The Dedicated Facility Project revenue requirement grid(s) shown above reflect the revenue requirements associated with a directly assigned transmission charge.   </t>
  </si>
  <si>
    <t xml:space="preserve">This same revenue requirement is in turn credited on line 153 of Attachment H-2A ("Revenue Credits") such that this directly assigned transmission charge has no impact on Attachment H-2A, line 155 ("Net Revenue Requirement").   </t>
  </si>
  <si>
    <t>In this way BGE's wholesale transmission customers are insulated from any revenue requirement effect from the Dedicated Facility Project.</t>
  </si>
  <si>
    <t>Non-Incentive Return and Income Taxes</t>
  </si>
  <si>
    <t>Model Reference</t>
  </si>
  <si>
    <t>Description</t>
  </si>
  <si>
    <t>see Att. 5, Abandoned Plant Carrying Charge</t>
  </si>
  <si>
    <t>(Appendix A line 144+ line 145)</t>
  </si>
  <si>
    <t>(Appendix A line 59)</t>
  </si>
  <si>
    <t>a</t>
  </si>
  <si>
    <t>b</t>
  </si>
  <si>
    <t>(line a / line b)</t>
  </si>
  <si>
    <t xml:space="preserve">Revenue requirements associated with abandoned plant will be billed to the zones that would have borne cost responsibility if the underlying assets had been placed in service, in </t>
  </si>
  <si>
    <t>accordance with existing PJM cost assignment policies.</t>
  </si>
  <si>
    <t>Years remaining in Amortization Period</t>
  </si>
  <si>
    <t>c</t>
  </si>
  <si>
    <t>d</t>
  </si>
  <si>
    <t>Ending Balance of Unamortized Transmission Projects</t>
  </si>
  <si>
    <t>e</t>
  </si>
  <si>
    <t>f</t>
  </si>
  <si>
    <t>g</t>
  </si>
  <si>
    <t>h</t>
  </si>
  <si>
    <t>(line a - line c)</t>
  </si>
  <si>
    <t>(line a + d)/2</t>
  </si>
  <si>
    <t>1- See row 85a, Appendix A.  See also amortization included in Attachment 7 revenue requirement calculation.</t>
  </si>
  <si>
    <t>2- See row 44a, Appendix A.  See also investment included in Attachment 7 revenue requirement calculation.</t>
  </si>
  <si>
    <t>Depr. Or Amort.</t>
  </si>
  <si>
    <t>Abandoned Plant Calculations</t>
  </si>
  <si>
    <t>Beginning Balance of Unamortized Transmission Projects</t>
  </si>
  <si>
    <t>(line f / line g)</t>
  </si>
  <si>
    <t>3- Carrying charge rate to be used when computing the revenue requirement for all abandonment plant facilities (see Attachment 7).</t>
  </si>
  <si>
    <t>Dedicated Facilities</t>
  </si>
  <si>
    <r>
      <t xml:space="preserve">Transmission Depreciation Expense Including Amortization of Limited Term Plant </t>
    </r>
    <r>
      <rPr>
        <vertAlign val="superscript"/>
        <sz val="12"/>
        <rFont val="Arial"/>
        <family val="2"/>
      </rPr>
      <t>1</t>
    </r>
  </si>
  <si>
    <r>
      <t xml:space="preserve">Average Balance of Unamortized Abandoned Transmission Projects </t>
    </r>
    <r>
      <rPr>
        <vertAlign val="superscript"/>
        <sz val="12"/>
        <rFont val="Arial"/>
        <family val="2"/>
      </rPr>
      <t>2</t>
    </r>
  </si>
  <si>
    <r>
      <t xml:space="preserve">Non-Incentive Return and Income Taxes </t>
    </r>
    <r>
      <rPr>
        <vertAlign val="superscript"/>
        <sz val="12"/>
        <rFont val="Arial"/>
        <family val="2"/>
      </rPr>
      <t>3</t>
    </r>
  </si>
  <si>
    <t>Baltimore Gas and Electric</t>
  </si>
  <si>
    <t>TRANSMISSION PLANT</t>
  </si>
  <si>
    <t>Deprec.</t>
  </si>
  <si>
    <t>Account</t>
  </si>
  <si>
    <t>Account Description</t>
  </si>
  <si>
    <t>Rate (%)</t>
  </si>
  <si>
    <t>LAND RIGHTS</t>
  </si>
  <si>
    <t>STRUCTURES AND IMPROVEMENTS</t>
  </si>
  <si>
    <t>STATION EQUIPMENT</t>
  </si>
  <si>
    <t>TOWERS AND FIXTURES</t>
  </si>
  <si>
    <t>POLES AND FIXTURES</t>
  </si>
  <si>
    <t>OVERHEAD CONDUCTORS AND DEVICES</t>
  </si>
  <si>
    <t>UNDERGROUND CONDUIT</t>
  </si>
  <si>
    <t>UNDERGROUND CONDUCTORS AND DEVICES</t>
  </si>
  <si>
    <t>ROADS AND TRAILS</t>
  </si>
  <si>
    <t>GENERAL PLANT - ELECTRIC</t>
  </si>
  <si>
    <t>OFFICE FURNITURE</t>
  </si>
  <si>
    <t>OFFICE EQUIPMENT</t>
  </si>
  <si>
    <t>PERSONAL COMPUTERS</t>
  </si>
  <si>
    <t>STORES EQUIPMENT</t>
  </si>
  <si>
    <t xml:space="preserve">TOOLS, SHOP AND GARAGE EQUIPMENT              </t>
  </si>
  <si>
    <t>LABORATORY EQUIPMENT</t>
  </si>
  <si>
    <t>COMMUNICATION EQUIPMENT</t>
  </si>
  <si>
    <t>COMMUNICATION EQUIPMENT - DRI</t>
  </si>
  <si>
    <t>MISCELLANEOUS EQUIPMENT</t>
  </si>
  <si>
    <t>GENERAL PLANT - COMMON (ELECTRIC &amp; GAS)</t>
  </si>
  <si>
    <t>COMPUTER EQUIPMENT - OTHER</t>
  </si>
  <si>
    <t>COMPUTER HARDWARE WITH SMART GRID</t>
  </si>
  <si>
    <t>PORTABLE TOOLS</t>
  </si>
  <si>
    <t>SHOP AND GARAGE EQUIPMENT</t>
  </si>
  <si>
    <t>CNG FUELING STATIONS</t>
  </si>
  <si>
    <t>COMMUNICATION EQUIPMENT - OVERHEAD</t>
  </si>
  <si>
    <t>COMMUNICATION EQUIPMENT - UNDERGROUND</t>
  </si>
  <si>
    <t>COMMUNICATION EQUIPMENT - OTHER</t>
  </si>
  <si>
    <t>COMMUNICATION EQUIPMENT - SMART GRID</t>
  </si>
  <si>
    <t>p207.104g</t>
  </si>
  <si>
    <t>p219.29c</t>
  </si>
  <si>
    <t>p200.21.c</t>
  </si>
  <si>
    <t>General and Intangible Plant</t>
  </si>
  <si>
    <t>p205.5.g &amp; p207.99.g</t>
  </si>
  <si>
    <t>p219.25.c</t>
  </si>
  <si>
    <t>Transmission Depreciation</t>
  </si>
  <si>
    <t>p323.197b</t>
  </si>
  <si>
    <t>Summary of Administrative and General Expense (A&amp;G) Charged to BGE by</t>
  </si>
  <si>
    <t>Exelon Business Services Company (BSC)</t>
  </si>
  <si>
    <t xml:space="preserve">Exelon Business Services Company (BSC) costs are distributed to all affiliates.  Appropriate </t>
  </si>
  <si>
    <t xml:space="preserve">cost allocation factors are assigned to the various headquarters functions to be distributed. </t>
  </si>
  <si>
    <t xml:space="preserve">This BSC cost distribution approach is documented in BGE's Cost Allocation Manual which </t>
  </si>
  <si>
    <t xml:space="preserve">is periodically filed with the Maryland Public Service Commission.  </t>
  </si>
  <si>
    <t xml:space="preserve">Costs distributed to BGE are recorded to the appropriate common A&amp;G expense </t>
  </si>
  <si>
    <t xml:space="preserve">accounts on BGE's books.  All common expenses (including allocations of cost from </t>
  </si>
  <si>
    <t xml:space="preserve">the BSC) are distributed to the electric and gas lines of business as noted on page 356.1 of the   </t>
  </si>
  <si>
    <t>Adjustments</t>
  </si>
  <si>
    <t>True-Up Amount</t>
  </si>
  <si>
    <t>Calculated Per Attachment 6</t>
  </si>
  <si>
    <t>Amount Per Attachment A</t>
  </si>
  <si>
    <t>Downtown Project 2007</t>
  </si>
  <si>
    <t>Northwest to Finksburg 2009</t>
  </si>
  <si>
    <t>Downtown Project 2008</t>
  </si>
  <si>
    <t>Downtown Project 2009</t>
  </si>
  <si>
    <t>Downtown Project 2010</t>
  </si>
  <si>
    <t>Northwest to Finksburg 2010</t>
  </si>
  <si>
    <t>Northwest to Finksburg 2011</t>
  </si>
  <si>
    <t>Dedicated Facility Project 2014</t>
  </si>
  <si>
    <t>Deferred Compensation</t>
  </si>
  <si>
    <t>Distribution</t>
  </si>
  <si>
    <t>Dedicated Facility Project 2015</t>
  </si>
  <si>
    <t>MAPP</t>
  </si>
  <si>
    <t>68a</t>
  </si>
  <si>
    <t>S</t>
  </si>
  <si>
    <t>See Attachment 5, Cost Support, section entitled "PBOP expense in FERC Account 926" for additional information per FERC orders in Docket Nos. EL13-48, EL15-27, and ER16-456.</t>
  </si>
  <si>
    <t>MAPP Project - Abandonment Costs</t>
  </si>
  <si>
    <t>Depr. or Amort.</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</si>
  <si>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</si>
  <si>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</si>
  <si>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</si>
  <si>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</si>
  <si>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</si>
  <si>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</si>
  <si>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</si>
  <si>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 xml:space="preserve">    For Informational Purposes: PBOP Expenses in FERC Account 926</t>
  </si>
  <si>
    <t xml:space="preserve">Per FERC's orders in Docket No. ER07-576, the Conastone and Waugh Chapel substation projects, the Downtown Project, and the Northwest to Finksburg project get an ROE of 11.5%.  </t>
  </si>
  <si>
    <t>The rest of transmission rate base gets an ROE of 10.5% which includes a 50 basis point RTO planning participation adder approved in Baltimore Gas and Electric Co., Docket No. ER07-576, by order issued on July 24, 2007.</t>
  </si>
  <si>
    <t>Electric's share of common advertising associated with safety</t>
  </si>
  <si>
    <t>of business for the last 20 plus years with no adverse comment from state or federal regulators</t>
  </si>
  <si>
    <t>Dedicated Facility Project 2016</t>
  </si>
  <si>
    <t xml:space="preserve">p219.28.c </t>
  </si>
  <si>
    <t>Transmission Lease Payments</t>
  </si>
  <si>
    <t>p200.4.c</t>
  </si>
  <si>
    <t>Form 1 amount is electric distribution only.</t>
  </si>
  <si>
    <t>Dedicated Facility Project 2017</t>
  </si>
  <si>
    <t>Baseline Upgrade b1254</t>
  </si>
  <si>
    <t>Baseline Upgrade b1254 - Abandonment Costs</t>
  </si>
  <si>
    <t>Per PJM Interconnection, L.L.C. and Baltimore Gas &amp; Electric Co., 150 FERC ¶ 61,054 (2015) and PJM Interconnection, L.L.C. and Baltimore Gas &amp; Electric Co., 152 FERC ¶ 61,254 (2015) and PJM Interconnection, L.L.C. and Baltimore Gas &amp; Electric Co., XXX FERC  ¶ XX,XXX (XXXX)</t>
  </si>
  <si>
    <t>Per PJM Interconnection, L.L.C. and Baltimore Gas &amp; Electric Co., 150 FERC ¶ 61,054 (2015) and PJM Interconnection, L.L.C. and Baltimore Gas &amp; Electric Co., 152 FERC ¶ 61,254 (2015) and Baltimore Gas &amp; Electric Co., XXX FERC  ¶ XX,XXX (XXXX)</t>
  </si>
  <si>
    <t>Dedicated Facility Project 2018</t>
  </si>
  <si>
    <t>Other Income Tax Adjustment</t>
  </si>
  <si>
    <t>Tax Rate from</t>
  </si>
  <si>
    <t>Component Descriptions</t>
  </si>
  <si>
    <t>Instruction References</t>
  </si>
  <si>
    <t>Expense Amount</t>
  </si>
  <si>
    <t>Tax Adjustment for AFUDC Equity Component of Transmission Depreciation Expense</t>
  </si>
  <si>
    <t>=</t>
  </si>
  <si>
    <t>Amortization of Other Flow-Through Items - Transmission Component</t>
  </si>
  <si>
    <t>Instr. #s</t>
  </si>
  <si>
    <t>Instructions</t>
  </si>
  <si>
    <t>Inst. 1</t>
  </si>
  <si>
    <t>Inst. 2</t>
  </si>
  <si>
    <t>Capital Recovery Rate is the book depreciation rate applicable to the underlying plant assets.</t>
  </si>
  <si>
    <t>Inst. 3</t>
  </si>
  <si>
    <t>Inst. 4</t>
  </si>
  <si>
    <t>Inst. 5</t>
  </si>
  <si>
    <t>Federal Deficient / (Excess) Deferred Income Taxes</t>
  </si>
  <si>
    <t>(A)</t>
  </si>
  <si>
    <t>(B)</t>
  </si>
  <si>
    <t>(C)</t>
  </si>
  <si>
    <t>(D)</t>
  </si>
  <si>
    <t>(E)</t>
  </si>
  <si>
    <t>(F)</t>
  </si>
  <si>
    <t>(G)</t>
  </si>
  <si>
    <t>Amortization 
 Fixed Period</t>
  </si>
  <si>
    <t>December 31, 2017</t>
  </si>
  <si>
    <t>Current Year
Amortization</t>
  </si>
  <si>
    <t>Deficient / (Excess) Deferred Income Taxes</t>
  </si>
  <si>
    <t>ADIT
Deficient / (Excess)</t>
  </si>
  <si>
    <t>EOY 
Balance</t>
  </si>
  <si>
    <t>Unprotected Non-Property</t>
  </si>
  <si>
    <t xml:space="preserve">ADIT - 190 </t>
  </si>
  <si>
    <t>4 Years</t>
  </si>
  <si>
    <t>ADIT - 281</t>
  </si>
  <si>
    <t>ADIT - 282</t>
  </si>
  <si>
    <t>ADIT - 283</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</si>
  <si>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</si>
  <si>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</si>
  <si>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</si>
  <si>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</si>
  <si>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</si>
  <si>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</si>
  <si>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</si>
  <si>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</si>
  <si>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</si>
  <si>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</si>
  <si>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</si>
  <si>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</si>
  <si>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</si>
  <si>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</si>
  <si>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</si>
  <si>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State Deficient / (Excess) Deferred Income Taxes</t>
  </si>
  <si>
    <t>State Tax Rate Change</t>
  </si>
  <si>
    <t>NA</t>
  </si>
  <si>
    <t>Total State Deficient / (Excess) Deferred Income Taxes</t>
  </si>
  <si>
    <t xml:space="preserve">State Income Tax Regulatory Asset / (Liability) </t>
  </si>
  <si>
    <t xml:space="preserve">Federal and State Income Tax Regulatory Asset / (Liability) </t>
  </si>
  <si>
    <t xml:space="preserve">Notes </t>
  </si>
  <si>
    <t>END</t>
  </si>
  <si>
    <t>Line</t>
  </si>
  <si>
    <t>Detailed Description</t>
  </si>
  <si>
    <t>Category</t>
  </si>
  <si>
    <t>Federal ADIT
@ 35%</t>
  </si>
  <si>
    <t>FIT on SIT</t>
  </si>
  <si>
    <t>Federal Gross
Timing Difference</t>
  </si>
  <si>
    <t>Federal ADIT
@ 21%</t>
  </si>
  <si>
    <t>State 
ADIT</t>
  </si>
  <si>
    <t>Non-Recoverable</t>
  </si>
  <si>
    <t>Electric
Transmission</t>
  </si>
  <si>
    <t>FERC
Account</t>
  </si>
  <si>
    <t>(P)</t>
  </si>
  <si>
    <t>(S)</t>
  </si>
  <si>
    <t>(T)</t>
  </si>
  <si>
    <t>Non-Property</t>
  </si>
  <si>
    <t>100% Distribution</t>
  </si>
  <si>
    <t>N/A</t>
  </si>
  <si>
    <t>Accrued Benefits</t>
  </si>
  <si>
    <t>Allowance for Doubtful Accounts</t>
  </si>
  <si>
    <t>OPEB</t>
  </si>
  <si>
    <t>State NOL</t>
  </si>
  <si>
    <t>Total FERC Account 190</t>
  </si>
  <si>
    <t>Plant</t>
  </si>
  <si>
    <t>Fixed Asset Basis Differences (PowerTax) - Non-Protected</t>
  </si>
  <si>
    <t>Fixed Asset Basis Differences (Non-PowerTax) - Non-Protected</t>
  </si>
  <si>
    <t>Total FERC Account 282</t>
  </si>
  <si>
    <t>Loss on Reacquired Debt</t>
  </si>
  <si>
    <t>Total FERC Account 283</t>
  </si>
  <si>
    <t>Grand Total</t>
  </si>
  <si>
    <t>Accumulated Deferred Income Taxes Remeasurement</t>
  </si>
  <si>
    <t>Tax Cuts and Jobs Act of 2017</t>
  </si>
  <si>
    <t>ADIT - Pre Rate Change (December 31, 2017)</t>
  </si>
  <si>
    <t>ADIT - Post Rate Change (December 31, 2017)</t>
  </si>
  <si>
    <t>Deficient / (Excess) Deferred Income Taxes (December 31, 2017)</t>
  </si>
  <si>
    <t>Total 
ADIT</t>
  </si>
  <si>
    <t>Rate Change 
Deferred Tax Impact</t>
  </si>
  <si>
    <t>Jurisdiction 
Allocator</t>
  </si>
  <si>
    <r>
      <t>Allocator
(</t>
    </r>
    <r>
      <rPr>
        <b/>
        <sz val="10"/>
        <color rgb="FF0070C0"/>
        <rFont val="Arial"/>
        <family val="2"/>
      </rPr>
      <t>Note B</t>
    </r>
    <r>
      <rPr>
        <b/>
        <sz val="10"/>
        <color theme="1"/>
        <rFont val="Arial"/>
        <family val="2"/>
      </rPr>
      <t>)</t>
    </r>
  </si>
  <si>
    <t>(E) = (D) * 35%</t>
  </si>
  <si>
    <t>(G) = (F) * 35%</t>
  </si>
  <si>
    <t>(H) = (E) + (F) + (G)</t>
  </si>
  <si>
    <t>(I)</t>
  </si>
  <si>
    <t>(J) = (I) * 21%</t>
  </si>
  <si>
    <t>(K)</t>
  </si>
  <si>
    <t>(L) = (K) * 21%</t>
  </si>
  <si>
    <t>(M) = (J) + (K) + (L)</t>
  </si>
  <si>
    <t>(N) = (H) - (M)</t>
  </si>
  <si>
    <t>(O)</t>
  </si>
  <si>
    <t>(Q) = (N) - (O) - (P)</t>
  </si>
  <si>
    <t>(R)</t>
  </si>
  <si>
    <t>(U) = (Q) * (T)</t>
  </si>
  <si>
    <t>(V)</t>
  </si>
  <si>
    <t>Total Unprotected</t>
  </si>
  <si>
    <t xml:space="preserve">Instructions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</si>
  <si>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</si>
  <si>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</si>
  <si>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Accumulated Deferred Income Taxes (ADIT)</t>
  </si>
  <si>
    <t xml:space="preserve">Line </t>
  </si>
  <si>
    <t>ADIT-281</t>
  </si>
  <si>
    <t>ADIT-282</t>
  </si>
  <si>
    <t>Subtotal - Transmission ADIT</t>
  </si>
  <si>
    <t xml:space="preserve">Description </t>
  </si>
  <si>
    <t>ADIT (Reacquired Debt)</t>
  </si>
  <si>
    <t>Less: ASC 740 ADIT Adjustments excluded from rate base</t>
  </si>
  <si>
    <t>Less: ASC 740 ADIT Adjustments related to unamortized ITC</t>
  </si>
  <si>
    <t>Less: ASC 740 ADIT balances related to income tax regulatory assets / (liabilities)</t>
  </si>
  <si>
    <t>Less: OPEB related ADIT, Above if not separately removed</t>
  </si>
  <si>
    <t>Transmission Allocator</t>
  </si>
  <si>
    <t>Other Allocator</t>
  </si>
  <si>
    <t>ADIT  - Transmission</t>
  </si>
  <si>
    <t>5. Deferred income taxes arise when items are included in taxable income in different periods than they are included in rates, therefore if the item giving rise to the ADIT is not included in the formula, the associated ADIT amount shall be excluded.</t>
  </si>
  <si>
    <t>40a</t>
  </si>
  <si>
    <t xml:space="preserve">Account No. 190 (ADIT) </t>
  </si>
  <si>
    <t>40b</t>
  </si>
  <si>
    <t xml:space="preserve">Account No. 281 (ADIT - Accel. Amort) </t>
  </si>
  <si>
    <t>40c</t>
  </si>
  <si>
    <t>40d</t>
  </si>
  <si>
    <t>Account No. 283 (ADIT - Other)</t>
  </si>
  <si>
    <t>40e</t>
  </si>
  <si>
    <t>Account No. 255 (Accum. Deferred Investment Tax Credits)</t>
  </si>
  <si>
    <t>40f</t>
  </si>
  <si>
    <t>41a</t>
  </si>
  <si>
    <t>41b</t>
  </si>
  <si>
    <t>Adjusted Accumulated Deferred Income Taxes Allocated To Transmission</t>
  </si>
  <si>
    <t>U</t>
  </si>
  <si>
    <t>V</t>
  </si>
  <si>
    <t>W</t>
  </si>
  <si>
    <t xml:space="preserve">Tax Gross-Up Factor </t>
  </si>
  <si>
    <t>1*1/(1-T)</t>
  </si>
  <si>
    <t>136b</t>
  </si>
  <si>
    <t>Attachment 5, Line 136a</t>
  </si>
  <si>
    <t>136c</t>
  </si>
  <si>
    <t>Attachment 5, Line 136b</t>
  </si>
  <si>
    <t>136d</t>
  </si>
  <si>
    <t>Attachment 5, Line 136c</t>
  </si>
  <si>
    <t>136e</t>
  </si>
  <si>
    <t>Attachment 5, Line 136d</t>
  </si>
  <si>
    <t>136f</t>
  </si>
  <si>
    <t>Other Income Tax Adjustments - Expense / (Benefit)</t>
  </si>
  <si>
    <t>136g</t>
  </si>
  <si>
    <t>136h</t>
  </si>
  <si>
    <t>131a</t>
  </si>
  <si>
    <t>131b</t>
  </si>
  <si>
    <t>136a</t>
  </si>
  <si>
    <t>Other Income Tax Adjustments</t>
  </si>
  <si>
    <t>Instr. 1, 2, 3 below</t>
  </si>
  <si>
    <t>Instr. 4 below</t>
  </si>
  <si>
    <t>Instr. 5 below</t>
  </si>
  <si>
    <t>Total Other Income Tax Adjustments - Expense / (Benefit)</t>
  </si>
  <si>
    <t>Only the transmission portion of amounts reported at Form 1, page 227, line 5 is used.  The transmission portion of line 5 is specified in a footnote to the Form 1, page 227.</t>
  </si>
  <si>
    <t>Plus amortization of extraordinary property losses</t>
  </si>
  <si>
    <t xml:space="preserve">3. Set the allocation percentages equal to the applicable percentages at the date of the rate change. </t>
  </si>
  <si>
    <t>Tax Gross-Up Factor</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</si>
  <si>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 Cost Support the name of each state and how the blended or composite SIT was developed. </t>
    </r>
  </si>
  <si>
    <t>Investment Tax Credit Amortization</t>
  </si>
  <si>
    <t>Account No. 282 (ADIT - Other Property)</t>
  </si>
  <si>
    <t>[Line 131a * 126 * (1-(122 / 125))]</t>
  </si>
  <si>
    <t>(Note I from ATT H-2A)</t>
  </si>
  <si>
    <t>(Note V from ATT H-2A)</t>
  </si>
  <si>
    <t>(Note T from ATT H-2A)</t>
  </si>
  <si>
    <t xml:space="preserve">(C) </t>
  </si>
  <si>
    <t xml:space="preserve">(E) </t>
  </si>
  <si>
    <t>In filling out this attachment, a full and complete description of each item and justification for the allocation to Columns B - F and each separate ADIT item will be listed, dissimilar items with amounts exceeding $100,000 will be listed separately.</t>
  </si>
  <si>
    <t>2.  ADIT items related only to Transmission are directly assigned to Column D</t>
  </si>
  <si>
    <t>3.  ADIT items related to Plant and not in Columns C &amp; D are included in Column E</t>
  </si>
  <si>
    <t>4.  ADIT items related to labor and not in Columns C &amp; D are included in Column F</t>
  </si>
  <si>
    <t>Unamortized Deficient / (Excess) ADIT (Federal)</t>
  </si>
  <si>
    <t>Unamortized Deficient / (Excess) ADIT (State)</t>
  </si>
  <si>
    <t xml:space="preserve">Unamortized Deficient / (Excess) ADIT Allocated to Transmission </t>
  </si>
  <si>
    <t>Amortization Deficient / (Excess) Deferred Taxes (Federal) - Transmission Component</t>
  </si>
  <si>
    <t>Amortization Deficient / (Excess) Deferred Taxes (State) - Transmission Component</t>
  </si>
  <si>
    <t>Gas, Production,</t>
  </si>
  <si>
    <t>Other Related</t>
  </si>
  <si>
    <t>Amortization Deficient / (Excess) Deficient Deferred Taxes (State) - Transmission Component</t>
  </si>
  <si>
    <t>Amortization of Deficient / (Excess) Deferred Taxes - Transmission Component</t>
  </si>
  <si>
    <t>Unamortized Deficient / (Excess) ADIT</t>
  </si>
  <si>
    <t>*Within five years of the effective date of the Settlement in Docket No ER19-5 et al, and at least every five years thereafter, BGE will file an FPA Section 205 rate proceeding to revise its depreciation rates (unless the company has otherwise submitted an FPA Section 205 rate filing that addresses its depreciation rates in the prior five years).</t>
  </si>
  <si>
    <t>Income Tax  Regulatory 
Asset / Liability 
Deferred Taxes</t>
  </si>
  <si>
    <t xml:space="preserve">4.  Insert note explaining the event giving rise to the deficient  / (excess) ADIT including the start and end date for the amortization.  The amortization ceases after the related regulatory asset / liability is drawn down to zero. </t>
  </si>
  <si>
    <t>1.  ADIT items related only to Non-Electric Operations (e.g., Gas, Water, Sewer), Production or Distribution Only are directly assigned to Column C</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</si>
  <si>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</si>
  <si>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</si>
  <si>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Multistate Workpaper</t>
  </si>
  <si>
    <t>Total true-up amount</t>
  </si>
  <si>
    <t>Dedicated Facility Project 2019</t>
  </si>
  <si>
    <t>b1251.1 - Rebuild Raphael-Bagley 230 kV 2016</t>
  </si>
  <si>
    <t>b1251 - Second Raphael-Bagley 230kv Circuit 2018</t>
  </si>
  <si>
    <t>b1251.1 - Rebuild Raphael-Bagley 230 kV 2018</t>
  </si>
  <si>
    <t>b1016 - Rebuild Graceton-Bagley 230kV 2018</t>
  </si>
  <si>
    <t>b1016 - Rebuild Graceton-Bagley 230kV 2017</t>
  </si>
  <si>
    <t>b1016 - Rebuild Graceton-Bagley 230kV 2016</t>
  </si>
  <si>
    <t>b0497 - Second Conastone-Graceton 230kV Circuit 2018</t>
  </si>
  <si>
    <t>b0497 - Second Conastone-Graceton 230kV Circuit 2017</t>
  </si>
  <si>
    <t>b0497 - Second Conastone-Graceton 230kV Circuit 2016</t>
  </si>
  <si>
    <t>b0477 - Waugh Chapel 500/230 kV Transformer 2012</t>
  </si>
  <si>
    <t>b0477 - Waugh Chapel 500/230 kV Transformer 2011</t>
  </si>
  <si>
    <t>b0244 - Waugh Chapel 500 kV Substation Project 2011</t>
  </si>
  <si>
    <t>b0244 - Waugh Chapel 500 kV Substation Project 2008</t>
  </si>
  <si>
    <t>b0244 - Waugh Chapel 500kV Substation Project- 2009</t>
  </si>
  <si>
    <t>b0244 - Waugh Chapel 500 kV Substation Project 2010</t>
  </si>
  <si>
    <t>b0298 - Conastone 500kV Substation Project- 2010</t>
  </si>
  <si>
    <t>b0298 - Conastone 500kV Substation Project- 2008</t>
  </si>
  <si>
    <t>b0298 - Conastone kV Substation Project 2009</t>
  </si>
  <si>
    <t>Accumulated Deferred Income Taxes (ADIT) - Transmission Allocated</t>
  </si>
  <si>
    <t>Attachment 1A - ADIT Summary</t>
  </si>
  <si>
    <t xml:space="preserve">Rate Year = </t>
  </si>
  <si>
    <t>Accumulated Deferred Income Taxes (Account No. 190)</t>
  </si>
  <si>
    <t>Days in Period</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</si>
  <si>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</si>
  <si>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</si>
  <si>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(H)</t>
  </si>
  <si>
    <t>(J)</t>
  </si>
  <si>
    <t>(L)</t>
  </si>
  <si>
    <t>(M)</t>
  </si>
  <si>
    <t>Days 
Per Month</t>
  </si>
  <si>
    <t>Remaining Days
Per Month</t>
  </si>
  <si>
    <t>Total Days
in Future 
Test Period</t>
  </si>
  <si>
    <t>Proration Amount 
(Column C / Column D)</t>
  </si>
  <si>
    <t>Projected
 Monthly Activity</t>
  </si>
  <si>
    <t>Prorated Projected 
Monthly Activity 
(Column E x Column F)</t>
  </si>
  <si>
    <t>Prorated 
Projected Balance 
(Col. G Plus Col. H, Preceding Balance)</t>
  </si>
  <si>
    <t>Actual Monthly
Activity</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</si>
  <si>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</si>
  <si>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</si>
  <si>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</si>
  <si>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</si>
  <si>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 xml:space="preserve">ADIT Subject to Proration </t>
  </si>
  <si>
    <t>January</t>
  </si>
  <si>
    <t>February</t>
  </si>
  <si>
    <t>March</t>
  </si>
  <si>
    <t>July</t>
  </si>
  <si>
    <t>August</t>
  </si>
  <si>
    <t>September</t>
  </si>
  <si>
    <t>October</t>
  </si>
  <si>
    <t>November</t>
  </si>
  <si>
    <t>December</t>
  </si>
  <si>
    <t>Beginning Balance - ADIT Not Subject to Proration</t>
  </si>
  <si>
    <t xml:space="preserve">Beginning Balance - ADIT Adjustment </t>
  </si>
  <si>
    <t>(Note F)</t>
  </si>
  <si>
    <t>Beginning Balance - DTA / (DTL)</t>
  </si>
  <si>
    <t>Ending Balance - ADIT Not Subject to Proration</t>
  </si>
  <si>
    <t xml:space="preserve">Ending Balance - ADIT Adjustment </t>
  </si>
  <si>
    <t xml:space="preserve">Ending Balance - DTA / (DTL) </t>
  </si>
  <si>
    <t>Average Balance as adjusted (non-prorated)</t>
  </si>
  <si>
    <t xml:space="preserve">Prorated ADIT </t>
  </si>
  <si>
    <t>Accumulated Deferred Income Taxes - Accelerated Amortization (Account No. 281)</t>
  </si>
  <si>
    <t>Prorated Days
Per Month</t>
  </si>
  <si>
    <t>Total Days
Per Future 
Test Period</t>
  </si>
  <si>
    <t>Estimated Ending Balance - ADIT Not Subject to Proration</t>
  </si>
  <si>
    <t>Accumulated Deferred Income Taxes - Property (Account No. 282)</t>
  </si>
  <si>
    <t xml:space="preserve">Beginning Balance - ADIT Depreciation Adjustment </t>
  </si>
  <si>
    <t xml:space="preserve">Ending Balance - ADIT Depreciation Adjustment </t>
  </si>
  <si>
    <t>Accumulated Deferred Income Taxes - Other (Account No. 283)</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</si>
  <si>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</si>
  <si>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</si>
  <si>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</si>
  <si>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</si>
  <si>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</si>
  <si>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</si>
  <si>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</si>
  <si>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</si>
  <si>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</si>
  <si>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</si>
  <si>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</si>
  <si>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</si>
  <si>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</si>
  <si>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</si>
  <si>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</si>
  <si>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</si>
  <si>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</si>
  <si>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</si>
  <si>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</si>
  <si>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 xml:space="preserve">IRS normalization adjustment for timing when accelerated tax depreciation should affect rate base. </t>
  </si>
  <si>
    <t>Attachment 1B - ADIT Worksheet - End of Year</t>
  </si>
  <si>
    <t xml:space="preserve">Distribution, or </t>
  </si>
  <si>
    <t>ADIT (Not Subject to Proration)</t>
  </si>
  <si>
    <t>ADIT-190 (Not Subject to Proration)</t>
  </si>
  <si>
    <t>Subtotal: ADIT-190 (Not Subject to Proration)</t>
  </si>
  <si>
    <t>Total: ADIT-190 (Not Subject to Proration)</t>
  </si>
  <si>
    <t>ADIT-190 (Subject to Proration)</t>
  </si>
  <si>
    <t>Subtotal: ADIT-190 (Subject to Proration)</t>
  </si>
  <si>
    <t>Total: ADIT-190 (Subject to Proration)</t>
  </si>
  <si>
    <t xml:space="preserve">ADIT-190 </t>
  </si>
  <si>
    <t>Total - FERC Form 1, Page 234</t>
  </si>
  <si>
    <t>6. ADIT items subject to the proration under the "normalization" rules will be included in ADIT-190 (Subject to Proration)</t>
  </si>
  <si>
    <t>ADIT- 282 (Not Subject to Proration)</t>
  </si>
  <si>
    <t>ADIT attributable to plant in service that is included in rate base.</t>
  </si>
  <si>
    <t>Subtotal: ADIT-282 (Not Subject to Proration)</t>
  </si>
  <si>
    <t>Less: ASC 740 ADIT Adjustments related to AFUDC Equity</t>
  </si>
  <si>
    <t>Total: ADIT-282 (Not Subject to Proration)</t>
  </si>
  <si>
    <t>ADIT-282 (Subject to Proration)</t>
  </si>
  <si>
    <t>Subtotal: ADIT-282 (Subject to Proration)</t>
  </si>
  <si>
    <t xml:space="preserve">ADIT-282 </t>
  </si>
  <si>
    <t>ADIT-282 (Not Subject to Proration)</t>
  </si>
  <si>
    <t>6. ADIT items subject to the proration under the "normalization" rules will be included in ADIT-282 (Subject to Proration)</t>
  </si>
  <si>
    <t>ADIT- 283 (Not Subject to Proration)</t>
  </si>
  <si>
    <t>Subtotal: ADIT-283 (Not Subject to Proration)</t>
  </si>
  <si>
    <t>Total: ADIT-283 (Not Subject to Proration)</t>
  </si>
  <si>
    <t>ADIT- 283 (Subject to Proration)</t>
  </si>
  <si>
    <t>Subtotal: ADIT-283 (Subject to Proration)</t>
  </si>
  <si>
    <t>Total: ADIT-283 (Subject to Proration)</t>
  </si>
  <si>
    <t>ADIT-283 (Subject to Proration)</t>
  </si>
  <si>
    <t>ADIT-283 (Not Subject to Proration)</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</si>
  <si>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</si>
  <si>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ADIT-283 (Subject to Proration)</t>
  </si>
  <si>
    <t>ADITC-255 (Unamortized Investment Tax Credits)</t>
  </si>
  <si>
    <t xml:space="preserve">Account No. 255 (Accum. Deferred Investment Tax Credits) </t>
  </si>
  <si>
    <t xml:space="preserve">Less: Adjustment to rate base </t>
  </si>
  <si>
    <t>Total: ADIT-255</t>
  </si>
  <si>
    <t>Unamortized Investment Tax Credit   - Transmission</t>
  </si>
  <si>
    <t xml:space="preserve">Investment Tax Credit Amortization </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</si>
  <si>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</si>
  <si>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</si>
  <si>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</si>
  <si>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</si>
  <si>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</si>
  <si>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Attachment 1D - ADIT Rate Base Adjustment</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</si>
  <si>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</si>
  <si>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</si>
  <si>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</si>
  <si>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</si>
  <si>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</si>
  <si>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</si>
  <si>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</si>
  <si>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</si>
  <si>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</si>
  <si>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</si>
  <si>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</si>
  <si>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</si>
  <si>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</si>
  <si>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</si>
  <si>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</si>
  <si>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</si>
  <si>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</si>
  <si>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</si>
  <si>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Reference</t>
  </si>
  <si>
    <t>Projected 
EOY Balance</t>
  </si>
  <si>
    <t xml:space="preserve">Unamortized Deficient / (Excess) ADIT - Federal </t>
  </si>
  <si>
    <t>(Entered in ATT H-1A, Line 41a)</t>
  </si>
  <si>
    <t xml:space="preserve">Unamortized Deficient / (Excess) ADIT - State (Projected) </t>
  </si>
  <si>
    <t xml:space="preserve">Unamortized Deficient / (Excess) ADIT - State (Actual) </t>
  </si>
  <si>
    <t>EOY
Balance</t>
  </si>
  <si>
    <t>Unamortized Deficient / (Excess) ADIT - State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</si>
  <si>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</si>
  <si>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</si>
  <si>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</si>
  <si>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</si>
  <si>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</si>
  <si>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</si>
  <si>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</si>
  <si>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</si>
  <si>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BOY 
Balance</t>
  </si>
  <si>
    <t xml:space="preserve">Federal and State Income Tax Regulatory Asset / (Liability) related to Excess / Deficient Deferred Income Taxes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</si>
  <si>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</si>
  <si>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</si>
  <si>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Attachment F - Deficient / (Excess) Deferred Income Taxes  Worksheet</t>
  </si>
  <si>
    <t>Total
Deficient / (Excess)
ADIT Balance</t>
  </si>
  <si>
    <t>Transmission Allocated
Deficient / (Excess)
ADIT Balance</t>
  </si>
  <si>
    <t>Attachment 1B - ADIT EOY</t>
  </si>
  <si>
    <t>H</t>
  </si>
  <si>
    <t>In the true-up calculation, actual monthly balance records are used.</t>
  </si>
  <si>
    <t>From Attachment 5 for the end of year balance and records for other months.</t>
  </si>
  <si>
    <t>Projected balances are for the calendar year the revenue under this formula begins to be charged.</t>
  </si>
  <si>
    <t>Calculate using 13 month average balance, except ADIT.</t>
  </si>
  <si>
    <t xml:space="preserve">ADIT and Accumulated Deferred Income Tax Credits are computed using the average of the end of the year and the projection of the year balances. </t>
  </si>
  <si>
    <t>Recovery of regulatory asset or any associated amortization expenses is limited to any regulatory assets authorized by FERC.</t>
  </si>
  <si>
    <t>Notes:</t>
  </si>
  <si>
    <t xml:space="preserve">December </t>
  </si>
  <si>
    <t xml:space="preserve">August </t>
  </si>
  <si>
    <t xml:space="preserve">March </t>
  </si>
  <si>
    <t>December Prior Year</t>
  </si>
  <si>
    <t>(227.16.c * Labor Ratio) for end of year, records for other months</t>
  </si>
  <si>
    <t>214 for end of year, records for other months</t>
  </si>
  <si>
    <t>(l)</t>
  </si>
  <si>
    <t>(k)</t>
  </si>
  <si>
    <t>(j)</t>
  </si>
  <si>
    <t>(i)</t>
  </si>
  <si>
    <t>(h)</t>
  </si>
  <si>
    <t>(g)</t>
  </si>
  <si>
    <t>(f)</t>
  </si>
  <si>
    <t>(e)</t>
  </si>
  <si>
    <t>(d)</t>
  </si>
  <si>
    <t>(c)</t>
  </si>
  <si>
    <t>(b)</t>
  </si>
  <si>
    <t xml:space="preserve">  Prepayments</t>
  </si>
  <si>
    <t>Stores Expense</t>
  </si>
  <si>
    <t xml:space="preserve">  Materials &amp; Supplies</t>
  </si>
  <si>
    <t>Held for Future Use</t>
  </si>
  <si>
    <t xml:space="preserve">CWIP in Rate Base </t>
  </si>
  <si>
    <t>(a)</t>
  </si>
  <si>
    <t>Account No. 255
Accumulated Deferred Investment Credit</t>
  </si>
  <si>
    <t>Account No. 190
Accumulated Deferred Income Taxes (Note C)</t>
  </si>
  <si>
    <t>Account No. 283
Accumulated Deferred Income Taxes (Note C)</t>
  </si>
  <si>
    <t>Account No. 282
Accumulated Deferred Income Taxes (Note C)</t>
  </si>
  <si>
    <t xml:space="preserve">Unamortized Abandoned Plant  </t>
  </si>
  <si>
    <t xml:space="preserve">Unamortized Regulatory Asset </t>
  </si>
  <si>
    <t>Undistributed</t>
  </si>
  <si>
    <t>PHFU</t>
  </si>
  <si>
    <t>CWIP</t>
  </si>
  <si>
    <t>Line No</t>
  </si>
  <si>
    <t>Average of the 13 Monthly Balances Less Merger Cost to Achieve</t>
  </si>
  <si>
    <t>Less Merger Cost to Achieve (Attachment 10)</t>
  </si>
  <si>
    <t>Average of the 13 Monthly Balances (Attachment 9A)</t>
  </si>
  <si>
    <t>Col. (d) - Col. (g) - Col. (i)</t>
  </si>
  <si>
    <t>Col. (c) - Col. (f) - Col. (h)</t>
  </si>
  <si>
    <t>Col. (b) - Col. (e)</t>
  </si>
  <si>
    <t>Electric Only, Form No 1, page 356 for end of year, records for other months</t>
  </si>
  <si>
    <t>200.21c for end of year, records for other months</t>
  </si>
  <si>
    <t>219.28.c for end of year, records for other months</t>
  </si>
  <si>
    <t>Projected monthly balances that are expected to be included in 219.25.c for end of year and records for other months (Note E)</t>
  </si>
  <si>
    <t>207.99.g  minus 207.98.g for end of year, records for other months</t>
  </si>
  <si>
    <t>207.58.g minus 207.57.g.  Projected monthly balances that are the amounts expected to be included in 207.58.g for end of year and records for other months (Note E)</t>
  </si>
  <si>
    <t>Common</t>
  </si>
  <si>
    <t>Intangible</t>
  </si>
  <si>
    <t xml:space="preserve">General </t>
  </si>
  <si>
    <t>Net Plant In Service</t>
  </si>
  <si>
    <t>Accumulated Amortization</t>
  </si>
  <si>
    <t>Gross Plant In Service</t>
  </si>
  <si>
    <t xml:space="preserve">Rate Base Worksheet </t>
  </si>
  <si>
    <t>Attachment 9</t>
  </si>
  <si>
    <t xml:space="preserve">Average of the 13 Monthly Balances </t>
  </si>
  <si>
    <t>Col. (g) - Col. (m)</t>
  </si>
  <si>
    <t>Col. (f) - Col. (l)</t>
  </si>
  <si>
    <t>Col. (e) - Col. (k)</t>
  </si>
  <si>
    <t>Col. (d) - Col. (j)</t>
  </si>
  <si>
    <t>Col. (c) - Col. (i)</t>
  </si>
  <si>
    <t>Col. (b) - Col. (h)</t>
  </si>
  <si>
    <t>Common Amortization</t>
  </si>
  <si>
    <t>Common Depreciation</t>
  </si>
  <si>
    <t>Total Plant in Service</t>
  </si>
  <si>
    <t>Projected Accumulated Depreciation &amp; Amortization Less Projected Asset Retirement Obligations</t>
  </si>
  <si>
    <t>219.28c for end of year, records for other months</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</si>
  <si>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</si>
  <si>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</si>
  <si>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(m)</t>
  </si>
  <si>
    <t>Common Amort.</t>
  </si>
  <si>
    <t>Common Depr.</t>
  </si>
  <si>
    <t>Intangible Amort.</t>
  </si>
  <si>
    <t>General Depr.</t>
  </si>
  <si>
    <t>Asset Retirement Obligations</t>
  </si>
  <si>
    <t>Accumulated Depreciation &amp; Amortization</t>
  </si>
  <si>
    <t>207.98.g. for end of year, records for other months</t>
  </si>
  <si>
    <t xml:space="preserve">207.57.g.  Projected monthly balances that are the amounts expected to be included in 207.57.g for end of year and records for other months </t>
  </si>
  <si>
    <t>207.57.g. + 207.74.g. + 207.83.g. + 207.98.g.  Projected monthly balances that are the amounts expected to be included in 207.57.g. + 207.74.g. + 207.83.g. + 207.98.g.  for end of year and records for other months</t>
  </si>
  <si>
    <t>207.99.g. plus 205.5.g. for end of year, records for other months</t>
  </si>
  <si>
    <t xml:space="preserve">p207.104.g. Projected monthly balances that are the amounts expected to be included in 207.104.g for end of year and records for other months </t>
  </si>
  <si>
    <t>Gross Plant in Service Less Projected Asset Retirement Obligations</t>
  </si>
  <si>
    <t>Rate Base Worksheet - Gross Plant in Service and Accumulated Depreciation (Less Asset Retirement Obligations)</t>
  </si>
  <si>
    <t>Attachment 9A</t>
  </si>
  <si>
    <t>Average</t>
  </si>
  <si>
    <t>Capital Cost To Achieve included in Total Plant in Service</t>
  </si>
  <si>
    <t>General</t>
  </si>
  <si>
    <t>Net Plant = Gross Plant Minus Accumulated Depreciation from above</t>
  </si>
  <si>
    <t>(x)</t>
  </si>
  <si>
    <t>(…)</t>
  </si>
  <si>
    <t>Attachment 10 - Merger Costs</t>
  </si>
  <si>
    <t>Gross Plant</t>
  </si>
  <si>
    <t>Capital Cost To Achieve included in Plant</t>
  </si>
  <si>
    <t>Common Plant</t>
  </si>
  <si>
    <t>Intangible Plant</t>
  </si>
  <si>
    <t>General Plant</t>
  </si>
  <si>
    <t>Allocation to Trans.</t>
  </si>
  <si>
    <t>FERC Account</t>
  </si>
  <si>
    <t>Depreciation &amp; Amortization Expense Cost To Achieve</t>
  </si>
  <si>
    <t xml:space="preserve">Transmission O&amp;M  </t>
  </si>
  <si>
    <t>O&amp;M Cost To Achieve</t>
  </si>
  <si>
    <t>p219.29c (See Attachment 9A, line 42, column b)</t>
  </si>
  <si>
    <t>p356 (See Attachment 9, line 16, column i)</t>
  </si>
  <si>
    <t>p356 (See Attachment 9, line 16, column g)</t>
  </si>
  <si>
    <t>p356 (See Attachment 9, line 16, column d)</t>
  </si>
  <si>
    <t>p214 (See Attachment 9, line 30, column c)</t>
  </si>
  <si>
    <t>p219.28.c (See attachment 9, line 16, column f)</t>
  </si>
  <si>
    <t>p200.21c (See Attachment 9, line 16, column h)</t>
  </si>
  <si>
    <t>Attachment 9, line 30, column h</t>
  </si>
  <si>
    <t>Attachment 9, line 30, column f</t>
  </si>
  <si>
    <t>p227.6c &amp; 16.c (See Attachment 9, line 30, column e)</t>
  </si>
  <si>
    <t>p227.8c + p227.5c (See Attachment 9, line 30, column d)</t>
  </si>
  <si>
    <t xml:space="preserve">End of Year December </t>
  </si>
  <si>
    <t>Allocation Factor</t>
  </si>
  <si>
    <t>p.111, l.57</t>
  </si>
  <si>
    <t xml:space="preserve">  </t>
  </si>
  <si>
    <t>Prepaid Pensions if not included in Prepayments</t>
  </si>
  <si>
    <t xml:space="preserve">  Prepaid Pension is recorded in FERC account 186 (see FERC Form 1 page 233).</t>
  </si>
  <si>
    <t>Total Monthly Balance Included in Rates</t>
  </si>
  <si>
    <t xml:space="preserve">  Attachment 9, line 17-29, column f</t>
  </si>
  <si>
    <t>Amount for Attachment H-2A, Line 40a</t>
  </si>
  <si>
    <t>Amount for Attachment H-2A, Line 40b</t>
  </si>
  <si>
    <t>Amount for Attachment H-2A, Line 40c</t>
  </si>
  <si>
    <t>Amount for Attachment H-2A, Line 40d</t>
  </si>
  <si>
    <t>Amount for Attachment H-2A, Line 40e</t>
  </si>
  <si>
    <t>Excluded because the underlying account(s) are not included in model</t>
  </si>
  <si>
    <t>Accrued Bonus</t>
  </si>
  <si>
    <t>Deferred Investment Tax Credit</t>
  </si>
  <si>
    <t>Excluded as per page 8 line 16 of Alan Heintz's direct testimony in FERC Case No. ER05-515</t>
  </si>
  <si>
    <t>Workers Compensation Reserve</t>
  </si>
  <si>
    <t>Gas-related &amp; accordingly excluded</t>
  </si>
  <si>
    <t>Post Retirement Benefits</t>
  </si>
  <si>
    <t>Vacation Pay</t>
  </si>
  <si>
    <t xml:space="preserve">Included because plant in service is included in rate base.  </t>
  </si>
  <si>
    <t xml:space="preserve">AFUDC Equity </t>
  </si>
  <si>
    <t>Pursuant to the requirements of FAS 109, BGE’s accumulated deferred taxes must encompass all timing differences regardless of whether the difference is normalized or flowed-through.  These items are removed below.</t>
  </si>
  <si>
    <t>Other Flow-through</t>
  </si>
  <si>
    <t>Maryland Additional Subtraction Modification</t>
  </si>
  <si>
    <t xml:space="preserve">Plant related basis difference not currently includible in rate base.
</t>
  </si>
  <si>
    <t xml:space="preserve">Accumulated Deferred Income Taxes attributable to income tax related regulatory assets and liabilities.  This balance is excluded from rate base.
</t>
  </si>
  <si>
    <t>Plant Deferred Taxes</t>
  </si>
  <si>
    <t>Included in cost of debt computation</t>
  </si>
  <si>
    <t>Reg Asset - Smart Energy Rewards</t>
  </si>
  <si>
    <t>STRIDE Overrecovery</t>
  </si>
  <si>
    <t>ERI Overrecovery</t>
  </si>
  <si>
    <t>Prepaid IT Expense</t>
  </si>
  <si>
    <t xml:space="preserve">Included because prepayments are included in rate base.  Related to accelerated deductibility of these amounts for tax purposes. </t>
  </si>
  <si>
    <t>Property Tax Payable</t>
  </si>
  <si>
    <t>Legacy Meters</t>
  </si>
  <si>
    <t xml:space="preserve">Baltimore Gas and Electric Company elected to amortize investment tax credits against recoverable income tax expense, rather than to reduce rate base by unamortized investment tax credit.  </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</si>
  <si>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t>
  </si>
  <si>
    <t>Net Operating Losses (Federal and State)</t>
  </si>
  <si>
    <t>(Entered in ATT H-2A, Line 41b)</t>
  </si>
  <si>
    <t>ATT H-2A, Line 132b</t>
  </si>
  <si>
    <t xml:space="preserve">1. For transmission allocated deficient / (excess) accumulated deferred income taxes (ADIT) related to rate change(s) to income tax rates occurring after September 30, 2018, insert new amortization table(s) that delineates the deficient and (excess) ADIT by category (i.e., protected property, unprotected property, and unprotected non-property). </t>
  </si>
  <si>
    <r>
      <t>FERC Account 190 (</t>
    </r>
    <r>
      <rPr>
        <b/>
        <u/>
        <sz val="10"/>
        <color rgb="FF0070C0"/>
        <rFont val="Arial"/>
        <family val="2"/>
      </rPr>
      <t>Note A</t>
    </r>
    <r>
      <rPr>
        <b/>
        <u/>
        <sz val="10"/>
        <color theme="1"/>
        <rFont val="Arial"/>
        <family val="2"/>
      </rPr>
      <t>)</t>
    </r>
  </si>
  <si>
    <t>BCBS Claim Adjustment</t>
  </si>
  <si>
    <t>Charitable Contributions</t>
  </si>
  <si>
    <t>Charitable Contribution Fed C/F</t>
  </si>
  <si>
    <t>Deferred ITC</t>
  </si>
  <si>
    <t xml:space="preserve">Deferred ITC </t>
  </si>
  <si>
    <t>Post Retirements Benefits</t>
  </si>
  <si>
    <t>Allowance for Excess Material</t>
  </si>
  <si>
    <t>A&amp;G Ratio</t>
  </si>
  <si>
    <t>Gas Inventory</t>
  </si>
  <si>
    <t>Gas Inventory Overheads</t>
  </si>
  <si>
    <t>Gas Demand</t>
  </si>
  <si>
    <t>GCRC</t>
  </si>
  <si>
    <t>Environmental Reserves</t>
  </si>
  <si>
    <t>Purchase of Receivables</t>
  </si>
  <si>
    <t>Long Term Incentives</t>
  </si>
  <si>
    <t>Other (190)</t>
  </si>
  <si>
    <t>Workers Compensation Accruals</t>
  </si>
  <si>
    <t>Vacation Pay Accruals</t>
  </si>
  <si>
    <t>Pension</t>
  </si>
  <si>
    <t>Reg Liab - AMI</t>
  </si>
  <si>
    <t>Reg Liab</t>
  </si>
  <si>
    <t>ITC Federal Carryforward</t>
  </si>
  <si>
    <t>FAS 109 NonTCJA</t>
  </si>
  <si>
    <t>FAS109 TCJA</t>
  </si>
  <si>
    <r>
      <t>FERC Account 282 (</t>
    </r>
    <r>
      <rPr>
        <b/>
        <u/>
        <sz val="11"/>
        <color rgb="FF0070C0"/>
        <rFont val="Arial"/>
        <family val="2"/>
      </rPr>
      <t>Note A</t>
    </r>
    <r>
      <rPr>
        <b/>
        <u/>
        <sz val="11"/>
        <color theme="1"/>
        <rFont val="Arial"/>
        <family val="2"/>
      </rPr>
      <t>)</t>
    </r>
  </si>
  <si>
    <t>Fixed Asset Basis Differences (PowerTax) - Protected</t>
  </si>
  <si>
    <t>Plant Related Deferred Taxes</t>
  </si>
  <si>
    <t>ARO</t>
  </si>
  <si>
    <t>100% Electric</t>
  </si>
  <si>
    <r>
      <t>FERC Account 283 (</t>
    </r>
    <r>
      <rPr>
        <b/>
        <u/>
        <sz val="11"/>
        <color rgb="FF0070C0"/>
        <rFont val="Arial"/>
        <family val="2"/>
      </rPr>
      <t>Note A</t>
    </r>
    <r>
      <rPr>
        <b/>
        <u/>
        <sz val="11"/>
        <color theme="1"/>
        <rFont val="Arial"/>
        <family val="2"/>
      </rPr>
      <t>)</t>
    </r>
  </si>
  <si>
    <t>AMI Regulatory Asset</t>
  </si>
  <si>
    <t>AMI Reg Asset</t>
  </si>
  <si>
    <t>Deferred Fuel</t>
  </si>
  <si>
    <t>DRI Program</t>
  </si>
  <si>
    <t>Energy Efficiency Programs</t>
  </si>
  <si>
    <t>Energy Efficiency Program</t>
  </si>
  <si>
    <t>POLR</t>
  </si>
  <si>
    <t xml:space="preserve">POLR </t>
  </si>
  <si>
    <t>Regulatory Asset - Legacy Meters</t>
  </si>
  <si>
    <t>Regulatory Asset - ARO</t>
  </si>
  <si>
    <t>Reg Asset - ARO</t>
  </si>
  <si>
    <t>Regulatory Asset - Electric Trans Rt True Up</t>
  </si>
  <si>
    <t>Reg Asset Elec Trans Rt True Up</t>
  </si>
  <si>
    <t>Regulatory Asset-Spring Gardens</t>
  </si>
  <si>
    <t>Environmental Clean Up Costs Prv</t>
  </si>
  <si>
    <t>ERI</t>
  </si>
  <si>
    <t>RIF Reg Asset</t>
  </si>
  <si>
    <t>RIF Reg Asset Amort</t>
  </si>
  <si>
    <t>Rate Case Reg Asset</t>
  </si>
  <si>
    <t>Reg Asset - Rate Case</t>
  </si>
  <si>
    <t>Reg Asset - Cost to Achieve</t>
  </si>
  <si>
    <t>Reg Liab - Smart Energy Rewards</t>
  </si>
  <si>
    <t>Reg Liab - Stride</t>
  </si>
  <si>
    <t>Severance</t>
  </si>
  <si>
    <t>Severance Cost - Reg Asset</t>
  </si>
  <si>
    <t>Prepaid Software &amp; License Expenses</t>
  </si>
  <si>
    <t>Prepaid IT</t>
  </si>
  <si>
    <t>DRI Adjustment</t>
  </si>
  <si>
    <t>Other (283)</t>
  </si>
  <si>
    <t>Total Deficient / (Excess)ADIT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</si>
  <si>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</si>
  <si>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Amount to Line 136e</t>
  </si>
  <si>
    <t xml:space="preserve">Instr. 6 below </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</si>
  <si>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</si>
  <si>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"AFUDC-Equity" category reflects the nondeductible component of depreciation expense related to the capitalized equity portion of Allowance for Funds Used During Construction (AFUDC).</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</si>
  <si>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EDIT Amortization, Column F, Line 50 and Line 79 for additional information and support for the current year amortization. The current year amortization of deficient and (excess) ADIT is recorded in FERC Accounts 410.1 and 411.1.</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</si>
  <si>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</si>
  <si>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</si>
  <si>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</si>
  <si>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Distribution Specific Software</t>
  </si>
  <si>
    <t>Transmission Specific Software</t>
  </si>
  <si>
    <t>Distribution Specific Software Amort.</t>
  </si>
  <si>
    <t>Transmission Specific Software Amort.</t>
  </si>
  <si>
    <t>Distribution Specific Software Amortization</t>
  </si>
  <si>
    <t>Transmission Specific Software Amortization</t>
  </si>
  <si>
    <t>(n)</t>
  </si>
  <si>
    <t>(o)</t>
  </si>
  <si>
    <t>(p)</t>
  </si>
  <si>
    <t>(q)</t>
  </si>
  <si>
    <t>(s)</t>
  </si>
  <si>
    <t>Attachment H-2A, Line No:</t>
  </si>
  <si>
    <t xml:space="preserve"> (r)</t>
  </si>
  <si>
    <t>Distribution specific software recorded in Account 303</t>
  </si>
  <si>
    <t>Transmission specific software recorded in Account 303</t>
  </si>
  <si>
    <t>Col. (b) - Col. (j)</t>
  </si>
  <si>
    <t>Col. (c) - Col. (k)</t>
  </si>
  <si>
    <t>Col. (d) - Col. (l)</t>
  </si>
  <si>
    <t>Col. (e) - Col. (m)</t>
  </si>
  <si>
    <t>Col. (f) - Col. (n)</t>
  </si>
  <si>
    <t>Col. (g) - Col. (o)</t>
  </si>
  <si>
    <t>Col. (h) - Col. (p)</t>
  </si>
  <si>
    <t>Col. (i) - Col. (q)</t>
  </si>
  <si>
    <t>p207.104g (See Attachment 9A, line 14, column n)</t>
  </si>
  <si>
    <t>This Line Intentionally Left Blank</t>
  </si>
  <si>
    <t>Attachment 2</t>
  </si>
  <si>
    <t>Tax Gross-Up Factor  [1*1/(1-T)]</t>
  </si>
  <si>
    <t xml:space="preserve">Composite Income Taxes                                                                                                                                                                       </t>
  </si>
  <si>
    <t>44(a)</t>
  </si>
  <si>
    <t>105a</t>
  </si>
  <si>
    <t xml:space="preserve">    Less Account 219</t>
  </si>
  <si>
    <t>p112.15c</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</si>
  <si>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</si>
  <si>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Y</t>
  </si>
  <si>
    <t xml:space="preserve">Common Stock balance will reflect the 13 month average of the balances, of which the 1st and 13th are found on page 112 lines 16.c &amp; d in the Form No. 1. The balances for January through November shall represent the actual balances in BGE’s books and records (trial balance or monthly balance sheet). </t>
  </si>
  <si>
    <t>Z</t>
  </si>
  <si>
    <t>AA</t>
  </si>
  <si>
    <t>Long Term Debt balance will reflect the 13 month average of the balances, of which the 1st and 13th are found on page 112 lines 18.c &amp; d to 21.c &amp; d in the Form No. 1. The balances for January through November shall represent the actual balances in BGE’s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</si>
  <si>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BGE’s books and records (trial balance or monthly balance sheet).</t>
  </si>
  <si>
    <t>Calculation of Calendar Revenues for Trued-Up Year</t>
  </si>
  <si>
    <t>Number of Days Effective in the calendar Year</t>
  </si>
  <si>
    <t>Total PJM Billed Revenues from applicable update</t>
  </si>
  <si>
    <t>True-Up from applicable update</t>
  </si>
  <si>
    <t>Total Number of Months in Calendar Year</t>
  </si>
  <si>
    <t>Effective Number of Months in Calendar Year</t>
  </si>
  <si>
    <t>True-Up Included in PJM Billed Revenues Above</t>
  </si>
  <si>
    <t>Billed PJM Revenues, Excluding Impact of True-Up</t>
  </si>
  <si>
    <t>Lines 2 x 3 x 4</t>
  </si>
  <si>
    <t>Lines 5 - 9</t>
  </si>
  <si>
    <t>Comparison of Trued-Up File to Calendar Revenues</t>
  </si>
  <si>
    <t>Rev Req based on Current Year data before True-Up + Incentive Revenues</t>
  </si>
  <si>
    <t xml:space="preserve">Total Revenue Requirement </t>
  </si>
  <si>
    <t>Calendar Revenues Per Step 1 above</t>
  </si>
  <si>
    <t>Daily Rate ($/MW-Day)</t>
  </si>
  <si>
    <t>Line 172 of Applicable Update</t>
  </si>
  <si>
    <t>Line 173 of  Applicable Update</t>
  </si>
  <si>
    <t>Line 169 of  Applicable Update</t>
  </si>
  <si>
    <t>Lines 6 x 7 / 8</t>
  </si>
  <si>
    <t>(excl true-up)  with interest</t>
  </si>
  <si>
    <t>207.58.g. Projected monthly balances that are the amounts expected to be included in 207.58.g for end of year and records for other months</t>
  </si>
  <si>
    <t>227. 8. c + 227.5.c (see Att H-2A Note U) for end of year, records for other months</t>
  </si>
  <si>
    <t>Average of the 13 Monthly Balances (Note D)</t>
  </si>
  <si>
    <t>p207.58.g (See Attachment 9, line 16, column b and Attachment 9a, line 14, column f)</t>
  </si>
  <si>
    <t>p219.25.c (See Attachment 9, line 16, column e and Attachment 9a, line 42, column g)</t>
  </si>
  <si>
    <t>Projected</t>
  </si>
  <si>
    <t>Total - FERC Form 1, Page 277</t>
  </si>
  <si>
    <t>Total - FERC Form 1, Page 275</t>
  </si>
  <si>
    <t>Total - FERC Form 1, Page 267</t>
  </si>
  <si>
    <t>Total - FERC Form 1, Page 266</t>
  </si>
  <si>
    <t>Exclude Construction Work In Progress and leases that are expensed as O&amp;M (rather than amortized).  New Transmission plant included which is expected to be placed in service in the current calendar year weighted by number of months it is expected to be in-service.  For the true-up, new transmission plant which was actually placed in service weighted by the number of months it was actually in service</t>
  </si>
  <si>
    <t>Per FERC's order in Docket No. ER07-576, the Conastone and Waugh Chapel substation projects get an additional 100 basis points to the return on equity on top of a base ROE of 10.0% per FERC order issued in Docket No. EL13-48 and a 50 basis point RTO transmission planning participation adder approved in Baltimore Gas and Electric Co., Docket No. ER07-576, by order issued on July 24, 2007, for a total ROE of 11.5%.  The rest of transmission rate base, except as provided in Note Q below, gets an ROE of 10.5% because it excludes the additional 100 basis points approved solely for the Conastone and Waugh Chapel substation projects.</t>
  </si>
  <si>
    <t>Outstanding Network Credits is the balance of Network Facilities Upgrades Credits due Transmission Customers who have made lump-sum payments   (net of accumulated depreciation) towards the construction of Network Transmission Facilities consistent with Paragraph 657 of Order 2003-A. Interest on the Network Credits as booked each year is added to the revenue requirement to make the Transmission Owner whole on Line 154.</t>
  </si>
  <si>
    <t>Payments made under Schedule 12 of the PJM OATT that are not directly assessed to load in the zone under Schedule 12 are included in Transmission O&amp;M.  If they are booked to account 565, they are included in on line 64.</t>
  </si>
  <si>
    <t>On November 16, 2007, the Federal Energy Regulatory Commission (FERC) granted Baltimore Gas and Electric (BGE) in Docket No. ER07-576 incentive rate treatment for 6 projects designated in the PJM Regional Transmission Expansion Plan (RTEP) as Transmission Owner Initiated (TOI).  Specifically, FERC granted an additional 100 basis points to the return on equity (ROE) for these projects, resulting in a final ROE, for these projects, of 11.5%,  inclusive of a base ROE of 10.0% per FERC order issued in Docket No. EL13-48 and a 50 basis point ROE transmission planning adder approved in Baltimore Gas and Electric Co., Docket No. ER07-576, by order issued on July 24, 2007.</t>
  </si>
  <si>
    <t>Costs of Unamortized Abandoned Plant and Amortization of Abandoned Plant for Dedicated Facilities pre-approved for inclusion in this cell subject to Formula Rate Protocols by Commission order issued in PJM Interconnection, LLC and Baltimore Gas and Electric Co., 150 FERC ¶ 61,054 (2015).  Costs of Unamortized Abandoned Plant and Amortization of Abandoned Plant for Mid-Atlantic Power Pathway (MAPP) approved for inclusion in this cell subject to Formula Rate Protocols by Commission order issued in PJM Interconnection, L.L.C. and Baltimore Gas and Electric Co., 152 FERC  ¶ 61,254 (2015).  Costs of Unamortized Abandoned Plant and Amortization of Abandoned Plant for Project Baseline Upgrades b1254 and b1254.1 (“b1254”) approved for inclusion in this cell subject to Formula Rate Protocols by Commission order issued in PJM Interconnection, L.L.C. and Baltimore Gas and Electric Co., XXX FERC ¶XX1,XXX (XXXX).</t>
  </si>
  <si>
    <t>Investment Tax Credit Adjustment</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</si>
  <si>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</si>
  <si>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</si>
  <si>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Note: ADIT associated with Gain or Loss on Reacquired Debt included in ADIT-283, Column B is excluded from rate base and instead included in Cost of Debt on Attachment H-2A, Line 110.   A deferred tax (liability) should be reported as a positive balance and a deferred tax asset should be reported as a negative balance on Attachment H-2A, Line 110. The ADIT balance is based on the 13-month average.</t>
  </si>
  <si>
    <t>Attachment H-2A, Line 130</t>
  </si>
  <si>
    <t>Baltimore Gas and Electric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multiplied by (1/1-T).</t>
  </si>
  <si>
    <t>p205.5.g &amp; p207.99.g (See Attachment 9, line 16, column c less Attachment 9a, line 14, columns q and r)</t>
  </si>
  <si>
    <t>p200.21c (See Attachment 9, line 16, column h less Attachment 9a, line 42, columns f and g)</t>
  </si>
  <si>
    <t>P200.4.c</t>
  </si>
  <si>
    <t>p323.197.b</t>
  </si>
  <si>
    <t>p323.185b</t>
  </si>
  <si>
    <t>(Sum Lines 103 to 105a)</t>
  </si>
  <si>
    <t xml:space="preserve">p </t>
  </si>
  <si>
    <t>(percent of federal income tax deductible for state purposes)</t>
  </si>
  <si>
    <t>Note P on Appendix A</t>
  </si>
  <si>
    <t>p</t>
  </si>
  <si>
    <t>P = (percent of federal income tax deductible for state purposes)</t>
  </si>
  <si>
    <t>AUTOMOBILES</t>
  </si>
  <si>
    <t>LIGHT TRUCKS UNDER 33,000</t>
  </si>
  <si>
    <t>HEAVY TRUCKS 33,000 AND OVER</t>
  </si>
  <si>
    <t>TRACTORS</t>
  </si>
  <si>
    <t>TRAILERS</t>
  </si>
  <si>
    <t>PRELEASED VEHICLES</t>
  </si>
  <si>
    <t>POWER OPERATED EQUIPMENT</t>
  </si>
  <si>
    <t xml:space="preserve">The difference between the Trued-Up Revenue Requirement and the calendar billed revenues </t>
  </si>
  <si>
    <t>Trued-Up Revenue Requirement per Line 167 of Attachment H2-A</t>
  </si>
  <si>
    <t>Line 1 / number of days in the year</t>
  </si>
  <si>
    <t>(Line 24)</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</si>
  <si>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BGE resides in the amortization cycle.  The current year amortization of deficient and (excess) ADIT is recorded in FERC Accounts 410.1 and 411.1.</t>
  </si>
  <si>
    <t>Total Transmission Related Reserves (13 month average)</t>
  </si>
  <si>
    <t xml:space="preserve">Includes only CWIP authorized by the Commission for inclusion in rate base.  </t>
  </si>
  <si>
    <t>Recovery of abandoned plant is limited to any abandoned plant recovery authorized by FERC.</t>
  </si>
  <si>
    <t>Attachment 11 - Depreciation Rates*</t>
  </si>
  <si>
    <t>Dedicated Facility Project 2020</t>
  </si>
  <si>
    <t>December 31, 2021</t>
  </si>
  <si>
    <t xml:space="preserve">Pension Asset </t>
  </si>
  <si>
    <t>Included because the pension asset is included in rate base.  Related to accrual recognition of expense for book purposes &amp; deductibility of cash fundings for tax purposes.  The amount included is the electric portion as allocated by the application of the modified version of the Massachusetts formula.</t>
  </si>
  <si>
    <t>Allowance for Doubtful Accounts (Bad Debt)</t>
  </si>
  <si>
    <t>Regulatory Liability (AMI)</t>
  </si>
  <si>
    <t>Capitalized Indirect Inventory (Gas)</t>
  </si>
  <si>
    <t>Gas Demand Charge</t>
  </si>
  <si>
    <t>Accrued Charitable Contributions</t>
  </si>
  <si>
    <t>Maryland Net Operating Losses, net of Federal</t>
  </si>
  <si>
    <t xml:space="preserve">Electric portion included in  rate base to the the extent attributable to plant related ADIT balances included in rate base that have not been monetized. The balance relates to Maryland net operating loss carry-forwards, net of federal taxes. </t>
  </si>
  <si>
    <t>Accrued Interest</t>
  </si>
  <si>
    <t>Accrued Payroll Taxes</t>
  </si>
  <si>
    <t>Property Related Deferred Taxes</t>
  </si>
  <si>
    <t>Asset Retirement Obligation</t>
  </si>
  <si>
    <t>FAS 109 Regulatory Liability</t>
  </si>
  <si>
    <t>Regulatory Asset (AMI)</t>
  </si>
  <si>
    <t>Regulatory Asset (POLR)</t>
  </si>
  <si>
    <t>Regulatory Asset (Elec Trans Rt True Up)</t>
  </si>
  <si>
    <t>Regulatory Asset (ARO Electric &amp; Gas)</t>
  </si>
  <si>
    <t>Regulatory Asset (Cost to Achieve)</t>
  </si>
  <si>
    <t>Regulatory Asset (Rate Case Case Expense)</t>
  </si>
  <si>
    <t>Regulatory Asset (Smart Energy Rewards)</t>
  </si>
  <si>
    <t>Regulatory Asset (Electric Vehicles)</t>
  </si>
  <si>
    <t>Regulatory Asset (Gas Meter)</t>
  </si>
  <si>
    <t>Regulatory Asset (Union Labor)</t>
  </si>
  <si>
    <t>Regulatory Asset (Riverside)</t>
  </si>
  <si>
    <t>Regulatory Asset (Severance)</t>
  </si>
  <si>
    <t>Regulatory Asset (Covid)</t>
  </si>
  <si>
    <t xml:space="preserve">Cloud Computing </t>
  </si>
  <si>
    <t xml:space="preserve">Included because the related underlying asset is included in rate base.  Related to accelerated deductibility of these amounts for tax purposes. </t>
  </si>
  <si>
    <t>Attachment 1A - ADIT Summary, Line 23</t>
  </si>
  <si>
    <t>Attachment 1A - ADIT Summary, Line 46</t>
  </si>
  <si>
    <t>Attachment 1A - ADIT Summary, Line 69</t>
  </si>
  <si>
    <t>Attachment 1A - ADIT Summary, Line 92</t>
  </si>
  <si>
    <t>Attachment 1A - ADIT Summary, Line 115</t>
  </si>
  <si>
    <t>Attachment 1D - ADIT Rate Base Adjustment, Line 73</t>
  </si>
  <si>
    <t>Attachment 1D - ADIT Rate Base Adjustment, Line 146</t>
  </si>
  <si>
    <t>Attachment 1B - ADIT EOY, Line 7</t>
  </si>
  <si>
    <t>(Note Y)</t>
  </si>
  <si>
    <t>(Note Z)</t>
  </si>
  <si>
    <t>(Note AA)</t>
  </si>
  <si>
    <t>(Line 18) from ATT H-2A</t>
  </si>
  <si>
    <t xml:space="preserve">Amount in Form 1 is already electric only.   </t>
  </si>
  <si>
    <t>Dedicated Facility Project 2021</t>
  </si>
  <si>
    <t>2021 Update</t>
  </si>
  <si>
    <t>1a</t>
  </si>
  <si>
    <t>Exelon Business Services Company Transmission Wages Expense</t>
  </si>
  <si>
    <t>p354-p355 footnotes</t>
  </si>
  <si>
    <t>1b</t>
  </si>
  <si>
    <t>Total Transmission Wages Expense</t>
  </si>
  <si>
    <t>(Line 1 + 1a)</t>
  </si>
  <si>
    <t>2a</t>
  </si>
  <si>
    <t>Total Exelon Business Services Company Wages Expense</t>
  </si>
  <si>
    <t>p354 - p355 footnotes</t>
  </si>
  <si>
    <t>2b</t>
  </si>
  <si>
    <t>(Line 2 + 2a)</t>
  </si>
  <si>
    <t>3a</t>
  </si>
  <si>
    <t>Less Exelon Business Services Company A&amp;G Wages Expense</t>
  </si>
  <si>
    <t>(Line 2b - 3 - 3a)</t>
  </si>
  <si>
    <t>(Line 1b / 4)</t>
  </si>
  <si>
    <t>December 31, 2021 (Actual)</t>
  </si>
  <si>
    <t>Accrued Employee Bonuses</t>
  </si>
  <si>
    <t>True-Up Adjustment</t>
  </si>
  <si>
    <t>Obsolete Materials</t>
  </si>
  <si>
    <t xml:space="preserve">Other Accrued Expenses </t>
  </si>
  <si>
    <t xml:space="preserve">Accrued State Taxes </t>
  </si>
  <si>
    <t>12/31/2021 (Actual)</t>
  </si>
  <si>
    <t>Regulatory Asset (Other)</t>
  </si>
  <si>
    <t>Direct Transmission Wages Expense</t>
  </si>
  <si>
    <t>Total Direct Wages Expense</t>
  </si>
  <si>
    <t>Less Direct A&amp;G Wages Expense</t>
  </si>
  <si>
    <t>b2766.1 - Rebuild Conastone 500 kV Substation Equip 2020</t>
  </si>
  <si>
    <t>b2992.3 - Rebuild Windy Edge-Glenarm 115 kV Circuit 2020</t>
  </si>
  <si>
    <t>b2992.4 - Rebuild Raphael-Northeast 230 kV Circuit 2020</t>
  </si>
  <si>
    <t>b1251.1 - Rebuild Raphael-Bagley 230 kV 2017</t>
  </si>
  <si>
    <t>b1251 - Second Raphael-Bagley 230kv Circuit 2017</t>
  </si>
  <si>
    <t>EPRI Dues excluded from Transmission O&amp;M.</t>
  </si>
  <si>
    <t>b2992.2 - Add Bundle Conductor Graceton-Bagley-Raphael 230 kV Circuit 2021</t>
  </si>
  <si>
    <t>b2992.1 - Reconduct Conastone-Graceton 230 kV Circuit 2021</t>
  </si>
  <si>
    <t>2022 Update</t>
  </si>
  <si>
    <t>East Towson</t>
  </si>
  <si>
    <t>Solley Road</t>
  </si>
  <si>
    <t>Increase in cost is mainly due to the use of a higher discount rate</t>
  </si>
  <si>
    <t>Other Transmission - Various Properties</t>
  </si>
  <si>
    <t xml:space="preserve">Amount in Form 1 is already electric only.   Non-electric portion represents depreciation related to capital merger costs associated with the Exelon separation.  </t>
  </si>
  <si>
    <t>Dedicated Facility Project 2022</t>
  </si>
  <si>
    <t>December 31, 2022 (Actual)</t>
  </si>
  <si>
    <t xml:space="preserve">Included because the obsolete materials reserve is included in rate base.  Related to deferred deductibility of these amounts for tax purposes. </t>
  </si>
  <si>
    <t xml:space="preserve">Corporate Alternative Minimum Tax </t>
  </si>
  <si>
    <t>Regulatory Liability (Covid)</t>
  </si>
  <si>
    <t>Regulatory Liability (MYP Imbalance)</t>
  </si>
  <si>
    <t>Environmental Clean-Up</t>
  </si>
  <si>
    <t>December 31, 2022</t>
  </si>
  <si>
    <t>Actual for the 12 Months Ended December 31, 2022</t>
  </si>
  <si>
    <t>12/31/2022 (Actual)</t>
  </si>
  <si>
    <t>2022 Projected</t>
  </si>
  <si>
    <t>Personal Property Tax</t>
  </si>
  <si>
    <t xml:space="preserve">Accrued State Income Taxes </t>
  </si>
  <si>
    <t>Regulatory Asset (Storm Deferral)</t>
  </si>
  <si>
    <t>Regulatory Asset (MYP Imbalance)</t>
  </si>
  <si>
    <t>Regulatory Asset (Legacy Meters)</t>
  </si>
  <si>
    <t>Excluded because the underlying account(s) giving rise to the ADIT balance are excluded from rate base.</t>
  </si>
  <si>
    <t xml:space="preserve">Excluded because the ADIT balance is related to Gas operations.
</t>
  </si>
  <si>
    <t>Income Tax Regulatory Liability</t>
  </si>
  <si>
    <t xml:space="preserve">Baltimore Gas and Electric Company elected to amortize investment tax credits against recoverable income tax expense, rather than to reduce rate base by unamortized investment tax credit.  Therefore, the associated deferred income taxes are likewise excluded from rate base (Refer to page 8 line 16 of Alan Heintz's direct testimony in FERC Case No. ER05-515).
</t>
  </si>
  <si>
    <r>
      <t xml:space="preserve">Pursuant to the requirements of ASC 740, </t>
    </r>
    <r>
      <rPr>
        <i/>
        <sz val="10"/>
        <rFont val="Arial"/>
        <family val="2"/>
      </rPr>
      <t>Income Taxes</t>
    </r>
    <r>
      <rPr>
        <sz val="10"/>
        <rFont val="Arial"/>
        <family val="2"/>
      </rPr>
      <t xml:space="preserve"> (Formerly FAS 109), BGE’s accumulated deferred taxes must encompass all timing differences regardless of whether the difference is normalized or flowed-through.  These items are removed below.</t>
    </r>
  </si>
  <si>
    <t xml:space="preserve">Property related ADIT is included in rate base to the extent related to plant assets included in rate base. 
</t>
  </si>
  <si>
    <t xml:space="preserve">Excluded because the underlying account(s) giving rise to the ADIT balance are excluded from rate base.
</t>
  </si>
  <si>
    <t>Reserve for Employee Litigation</t>
  </si>
  <si>
    <t>Assets Retirement Obligation</t>
  </si>
  <si>
    <t xml:space="preserve">Electric portion included in  rate base to the  extent attributable to plant related ADIT balances included in rate base that have not been monetized. The balance relates to Maryland net operating loss carry-forwards, net of federal taxes. </t>
  </si>
  <si>
    <t xml:space="preserve">Electric portion included in rate base to the  extent attributable to plant related ADIT balances included in rate base that have not been monetized. </t>
  </si>
  <si>
    <t>Regulatory Asset (Rate Case  Expense)</t>
  </si>
  <si>
    <t xml:space="preserve">Included because prepaid property taxes  are included in rate base.  Related to accelerated deductibility of these amounts for tax purposes. </t>
  </si>
  <si>
    <t xml:space="preserve">Included because certain prepaid amounts are included in rate base.  Related to accelerated deductibility of these amounts for tax purposes. </t>
  </si>
  <si>
    <t xml:space="preserve">Stormwater Fees </t>
  </si>
  <si>
    <t>Sales &amp; Use Tax (Not subject to Capitalization)</t>
  </si>
  <si>
    <t>Unemployment Taxes (Federal &amp; State)</t>
  </si>
  <si>
    <t>FICA / Other Payroll Tax</t>
  </si>
  <si>
    <t>Actual calculation of the results of the method for 2022:</t>
  </si>
  <si>
    <t>received a 32.3% share.</t>
  </si>
  <si>
    <t xml:space="preserve">In 2022 the regulated electric business received 67.7% of common utility expenses and gas </t>
  </si>
  <si>
    <t xml:space="preserve">Transmission-specific software amortization recorded as intangible amortization ($863,890) and additional depreciation associated with the dedicated facility charge ($319,995).  </t>
  </si>
  <si>
    <t>Transmission-specific ($863,890) and distribution-specific ($3,130,726) software amortization recorded as intangible amortization.</t>
  </si>
  <si>
    <t>Adjustment reflects the 2022 Annual Update credits, including certain legal costs with interest.</t>
  </si>
  <si>
    <t>2022 Annual Update credits, including certain legal costs with interest</t>
  </si>
  <si>
    <t>Costs associated with the Exelon separation ($589,804) and commodity specific A&amp;G costs ($494,180).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</si>
</sst>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000_);_(* \(#,##0.0000\);_(* &quot;-&quot;??_);_(@_)"/>
    <numFmt numFmtId="173" formatCode="0.0000%"/>
    <numFmt numFmtId="174" formatCode="0.00000%"/>
    <numFmt numFmtId="175" formatCode="0.000000%"/>
    <numFmt numFmtId="176" formatCode="0.000000000"/>
    <numFmt numFmtId="177" formatCode="0.0000000"/>
    <numFmt numFmtId="178" formatCode="&quot;$&quot;#,##0"/>
    <numFmt numFmtId="179" formatCode="0.0000000000"/>
    <numFmt numFmtId="180" formatCode="#,##0.0_);\(#,##0.0\)"/>
    <numFmt numFmtId="181" formatCode="_(* #,##0.0_);_(* \(#,##0.0\);_(* &quot;-&quot;??_);_(@_)"/>
    <numFmt numFmtId="182" formatCode="_(* #,##0.000_);_(* \(#,##0.000\);_(* &quot;-&quot;???_);_(@_)"/>
    <numFmt numFmtId="183" formatCode="0_)"/>
    <numFmt numFmtId="184" formatCode="#,##0.000_);\(#,##0.0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color indexed="12"/>
      <name val="Arial"/>
      <family val="2"/>
    </font>
    <font>
      <b/>
      <sz val="12"/>
      <color indexed="10"/>
      <name val="Arial"/>
      <family val="2"/>
    </font>
    <font>
      <sz val="12"/>
      <color indexed="10"/>
      <name val="Arial"/>
      <family val="2"/>
    </font>
    <font>
      <b/>
      <sz val="10"/>
      <color indexed="10"/>
      <name val="Arial"/>
      <family val="2"/>
    </font>
    <font>
      <sz val="12"/>
      <name val="Arial MT"/>
    </font>
    <font>
      <sz val="10"/>
      <color indexed="12"/>
      <name val="Arial"/>
      <family val="2"/>
    </font>
    <font>
      <b/>
      <sz val="14"/>
      <name val="Arial"/>
      <family val="2"/>
    </font>
    <font>
      <sz val="12"/>
      <color indexed="12"/>
      <name val="Helv"/>
    </font>
    <font>
      <sz val="12"/>
      <name val="Helv"/>
    </font>
    <font>
      <sz val="12"/>
      <color indexed="13"/>
      <name val="Arial"/>
      <family val="2"/>
    </font>
    <font>
      <b/>
      <sz val="12"/>
      <color indexed="13"/>
      <name val="Arial"/>
      <family val="2"/>
    </font>
    <font>
      <sz val="14"/>
      <name val="Arial"/>
      <family val="2"/>
    </font>
    <font>
      <sz val="12"/>
      <name val="Arial Narrow"/>
      <family val="2"/>
    </font>
    <font>
      <b/>
      <sz val="12"/>
      <color indexed="10"/>
      <name val="Arial Narrow"/>
      <family val="2"/>
    </font>
    <font>
      <b/>
      <sz val="14"/>
      <color indexed="13"/>
      <name val="Arial"/>
      <family val="2"/>
    </font>
    <font>
      <b/>
      <sz val="18"/>
      <name val="Arial"/>
      <family val="2"/>
    </font>
    <font>
      <b/>
      <sz val="10"/>
      <color indexed="10"/>
      <name val="Arial Narrow"/>
      <family val="2"/>
    </font>
    <font>
      <sz val="10"/>
      <name val="Arial Narrow"/>
      <family val="2"/>
    </font>
    <font>
      <b/>
      <sz val="10"/>
      <color indexed="14"/>
      <name val="Arial"/>
      <family val="2"/>
    </font>
    <font>
      <sz val="11"/>
      <name val="Arial"/>
      <family val="2"/>
    </font>
    <font>
      <b/>
      <sz val="10"/>
      <name val="Arial Narrow"/>
      <family val="2"/>
    </font>
    <font>
      <sz val="10"/>
      <color indexed="12"/>
      <name val="Arial Narrow"/>
      <family val="2"/>
    </font>
    <font>
      <sz val="10"/>
      <color indexed="10"/>
      <name val="Arial Narrow"/>
      <family val="2"/>
    </font>
    <font>
      <b/>
      <sz val="12"/>
      <name val="Arial Narrow"/>
      <family val="2"/>
    </font>
    <font>
      <sz val="12"/>
      <color indexed="12"/>
      <name val="Arial Narrow"/>
      <family val="2"/>
    </font>
    <font>
      <b/>
      <sz val="12"/>
      <color indexed="13"/>
      <name val="Arial Narrow"/>
      <family val="2"/>
    </font>
    <font>
      <sz val="12"/>
      <color indexed="13"/>
      <name val="Arial Narrow"/>
      <family val="2"/>
    </font>
    <font>
      <sz val="12"/>
      <color indexed="10"/>
      <name val="Arial Narrow"/>
      <family val="2"/>
    </font>
    <font>
      <b/>
      <u/>
      <sz val="12"/>
      <name val="Arial Narrow"/>
      <family val="2"/>
    </font>
    <font>
      <b/>
      <sz val="14"/>
      <name val="Arial Narrow"/>
      <family val="2"/>
    </font>
    <font>
      <sz val="14"/>
      <name val="Arial Narrow"/>
      <family val="2"/>
    </font>
    <font>
      <b/>
      <i/>
      <sz val="12"/>
      <color indexed="14"/>
      <name val="Arial Narrow"/>
      <family val="2"/>
    </font>
    <font>
      <sz val="9"/>
      <color indexed="10"/>
      <name val="Arial Narrow"/>
      <family val="2"/>
    </font>
    <font>
      <b/>
      <sz val="14"/>
      <color indexed="10"/>
      <name val="Arial"/>
      <family val="2"/>
    </font>
    <font>
      <b/>
      <sz val="16"/>
      <color indexed="10"/>
      <name val="Arial"/>
      <family val="2"/>
    </font>
    <font>
      <sz val="11"/>
      <name val="Arial Narrow"/>
      <family val="2"/>
    </font>
    <font>
      <b/>
      <sz val="16"/>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b/>
      <sz val="11"/>
      <name val="Arial"/>
      <family val="2"/>
    </font>
    <font>
      <u/>
      <sz val="10"/>
      <name val="Arial"/>
      <family val="2"/>
    </font>
    <font>
      <u/>
      <sz val="12"/>
      <name val="Arial"/>
      <family val="2"/>
    </font>
    <font>
      <b/>
      <u/>
      <sz val="12"/>
      <name val="Arial"/>
      <family val="2"/>
    </font>
    <font>
      <b/>
      <sz val="10"/>
      <color rgb="FFFF0000"/>
      <name val="Arial"/>
      <family val="2"/>
    </font>
    <font>
      <vertAlign val="superscript"/>
      <sz val="12"/>
      <name val="Arial"/>
      <family val="2"/>
    </font>
    <font>
      <b/>
      <u/>
      <sz val="16"/>
      <color indexed="10"/>
      <name val="Arial"/>
      <family val="2"/>
    </font>
    <font>
      <b/>
      <sz val="7"/>
      <name val="Arial Narrow"/>
      <family val="2"/>
    </font>
    <font>
      <sz val="10"/>
      <name val="Times New Roman"/>
      <family val="1"/>
    </font>
    <font>
      <sz val="7"/>
      <name val="Arial Narrow"/>
      <family val="2"/>
    </font>
    <font>
      <sz val="8"/>
      <name val="Arial Narrow"/>
      <family val="2"/>
    </font>
    <font>
      <sz val="10"/>
      <color indexed="10"/>
      <name val="Times New Roman"/>
      <family val="1"/>
    </font>
    <font>
      <strike/>
      <sz val="10"/>
      <color indexed="10"/>
      <name val="Times New Roman"/>
      <family val="1"/>
    </font>
    <font>
      <sz val="10"/>
      <color indexed="12"/>
      <name val="Times New Roman"/>
      <family val="1"/>
    </font>
    <font>
      <b/>
      <sz val="12"/>
      <color indexed="8"/>
      <name val="Arial"/>
      <family val="2"/>
    </font>
    <font>
      <b/>
      <sz val="12"/>
      <color indexed="14"/>
      <name val="Arial"/>
      <family val="2"/>
    </font>
    <font>
      <b/>
      <sz val="11"/>
      <name val="Arial Narrow"/>
      <family val="2"/>
    </font>
    <font>
      <i/>
      <sz val="10"/>
      <name val="Arial"/>
      <family val="2"/>
    </font>
    <font>
      <sz val="8"/>
      <name val="Arial"/>
      <family val="2"/>
    </font>
    <font>
      <u/>
      <sz val="14"/>
      <name val="Arial"/>
      <family val="2"/>
    </font>
    <font>
      <sz val="10"/>
      <name val="Arial"/>
      <family val="2"/>
    </font>
    <font>
      <sz val="11"/>
      <color theme="1"/>
      <name val="Times New Roman"/>
      <family val="1"/>
    </font>
    <font>
      <sz val="10"/>
      <color theme="1"/>
      <name val="Arial"/>
      <family val="2"/>
    </font>
    <font>
      <b/>
      <sz val="10"/>
      <color theme="1"/>
      <name val="Arial"/>
      <family val="2"/>
    </font>
    <font>
      <b/>
      <sz val="11"/>
      <color theme="1"/>
      <name val="Arial"/>
      <family val="2"/>
    </font>
    <font>
      <sz val="10"/>
      <color theme="0"/>
      <name val="Arial"/>
      <family val="2"/>
    </font>
    <font>
      <sz val="10"/>
      <color rgb="FF0070C0"/>
      <name val="Arial"/>
      <family val="2"/>
    </font>
    <font>
      <sz val="10"/>
      <color rgb="FFFF0000"/>
      <name val="Arial"/>
      <family val="2"/>
    </font>
    <font>
      <b/>
      <sz val="10"/>
      <color theme="0"/>
      <name val="Arial"/>
      <family val="2"/>
    </font>
    <font>
      <sz val="11"/>
      <color theme="1"/>
      <name val="Arial"/>
      <family val="2"/>
    </font>
    <font>
      <sz val="10"/>
      <color theme="3"/>
      <name val="Arial"/>
      <family val="2"/>
    </font>
    <font>
      <b/>
      <u/>
      <sz val="10"/>
      <color theme="1"/>
      <name val="Arial"/>
      <family val="2"/>
    </font>
    <font>
      <b/>
      <sz val="15"/>
      <color theme="0"/>
      <name val="Arial"/>
      <family val="2"/>
    </font>
    <font>
      <b/>
      <sz val="10"/>
      <color rgb="FF0070C0"/>
      <name val="Arial"/>
      <family val="2"/>
    </font>
    <font>
      <b/>
      <u/>
      <sz val="10"/>
      <color rgb="FF0070C0"/>
      <name val="Arial"/>
      <family val="2"/>
    </font>
    <font>
      <b/>
      <sz val="10"/>
      <color indexed="13"/>
      <name val="Arial"/>
      <family val="2"/>
    </font>
    <font>
      <b/>
      <i/>
      <sz val="10"/>
      <name val="Arial"/>
      <family val="2"/>
    </font>
    <font>
      <b/>
      <sz val="12"/>
      <color indexed="12"/>
      <name val="Arial"/>
      <family val="2"/>
    </font>
    <font>
      <b/>
      <sz val="9"/>
      <color indexed="10"/>
      <name val="Arial"/>
      <family val="2"/>
    </font>
    <font>
      <b/>
      <sz val="8"/>
      <color rgb="FFFF0000"/>
      <name val="Arial"/>
      <family val="2"/>
    </font>
    <font>
      <sz val="12"/>
      <color theme="1"/>
      <name val="Arial"/>
      <family val="2"/>
    </font>
    <font>
      <u/>
      <sz val="11"/>
      <name val="Arial"/>
      <family val="2"/>
    </font>
    <font>
      <b/>
      <sz val="12"/>
      <color theme="1"/>
      <name val="Arial"/>
      <family val="2"/>
    </font>
    <font>
      <sz val="12"/>
      <color theme="0"/>
      <name val="Arial"/>
      <family val="2"/>
    </font>
    <font>
      <b/>
      <sz val="14"/>
      <color theme="0"/>
      <name val="Arial"/>
      <family val="2"/>
    </font>
    <font>
      <sz val="10"/>
      <name val="MS Sans Serif"/>
      <family val="2"/>
    </font>
    <font>
      <b/>
      <sz val="10"/>
      <name val="MS Sans Serif"/>
      <family val="2"/>
    </font>
    <font>
      <sz val="11"/>
      <color indexed="8"/>
      <name val="Calibri"/>
      <family val="2"/>
    </font>
    <font>
      <b/>
      <i/>
      <sz val="12"/>
      <color theme="1"/>
      <name val="Arial"/>
      <family val="2"/>
    </font>
    <font>
      <sz val="10"/>
      <color rgb="FF000000"/>
      <name val="Arial"/>
      <family val="2"/>
    </font>
    <font>
      <sz val="10"/>
      <color indexed="40"/>
      <name val="Times New Roman"/>
      <family val="1"/>
    </font>
    <font>
      <strike/>
      <sz val="10"/>
      <name val="Times New Roman"/>
      <family val="1"/>
    </font>
    <font>
      <sz val="10"/>
      <color rgb="FFFF0000"/>
      <name val="Times New Roman"/>
      <family val="1"/>
    </font>
    <font>
      <b/>
      <sz val="10"/>
      <name val="Times New Roman"/>
      <family val="1"/>
    </font>
    <font>
      <sz val="10"/>
      <color theme="1"/>
      <name val="Times New Roman"/>
      <family val="1"/>
    </font>
    <font>
      <b/>
      <i/>
      <sz val="12"/>
      <name val="Arial"/>
      <family val="2"/>
    </font>
    <font>
      <sz val="11"/>
      <color theme="1"/>
      <name val="Arial Narrow"/>
      <family val="2"/>
    </font>
    <font>
      <sz val="10"/>
      <name val="Arial MT"/>
    </font>
    <font>
      <b/>
      <sz val="11"/>
      <color theme="1"/>
      <name val="Times New Roman"/>
      <family val="1"/>
    </font>
    <font>
      <b/>
      <sz val="12"/>
      <name val="Arial MT"/>
    </font>
    <font>
      <b/>
      <u/>
      <sz val="11"/>
      <color theme="1"/>
      <name val="Arial"/>
      <family val="2"/>
    </font>
    <font>
      <b/>
      <u/>
      <sz val="11"/>
      <color rgb="FF0070C0"/>
      <name val="Arial"/>
      <family val="2"/>
    </font>
    <font>
      <u/>
      <sz val="7"/>
      <name val="Arial"/>
      <family val="2"/>
    </font>
    <font>
      <b/>
      <sz val="7"/>
      <name val="Arial"/>
      <family val="2"/>
    </font>
    <font>
      <sz val="7"/>
      <name val="Arial"/>
      <family val="2"/>
    </font>
    <font>
      <i/>
      <sz val="7"/>
      <name val="Arial"/>
      <family val="2"/>
    </font>
  </fonts>
  <fills count="18">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4"/>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0070C0"/>
        <bgColor indexed="64"/>
      </patternFill>
    </fill>
    <fill>
      <patternFill patternType="solid">
        <fgColor theme="0"/>
        <bgColor indexed="64"/>
      </patternFill>
    </fill>
    <fill>
      <patternFill patternType="solid">
        <fgColor theme="0" tint="-0.34998626667073579"/>
        <bgColor indexed="64"/>
      </patternFill>
    </fill>
    <fill>
      <patternFill patternType="mediumGray">
        <fgColor indexed="22"/>
      </patternFill>
    </fill>
    <fill>
      <patternFill patternType="solid">
        <fgColor theme="1"/>
        <bgColor indexed="64"/>
      </patternFill>
    </fill>
    <fill>
      <patternFill patternType="solid">
        <fgColor theme="0" tint="-4.9989318521683403E-2"/>
        <bgColor indexed="64"/>
      </patternFill>
    </fill>
  </fills>
  <borders count="35">
    <border>
      <left/>
      <right/>
      <top/>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6">
    <xf numFmtId="0" fontId="0" fillId="0" borderId="0"/>
    <xf numFmtId="43" fontId="4" fillId="0" borderId="0" applyFont="0" applyFill="0" applyBorder="0" applyAlignment="0" applyProtection="0"/>
    <xf numFmtId="44" fontId="4" fillId="0" borderId="0" applyFont="0" applyFill="0" applyBorder="0" applyAlignment="0" applyProtection="0"/>
    <xf numFmtId="165" fontId="9" fillId="0" borderId="0"/>
    <xf numFmtId="170" fontId="14" fillId="0" borderId="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2"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74" fillId="0" borderId="0"/>
    <xf numFmtId="0" fontId="74" fillId="0" borderId="0"/>
    <xf numFmtId="0" fontId="74" fillId="0" borderId="0"/>
    <xf numFmtId="0" fontId="4" fillId="0" borderId="0"/>
    <xf numFmtId="0" fontId="4" fillId="0" borderId="0"/>
    <xf numFmtId="43" fontId="2" fillId="0" borderId="0" applyFont="0" applyFill="0" applyBorder="0" applyAlignment="0" applyProtection="0"/>
    <xf numFmtId="0" fontId="2" fillId="0" borderId="0"/>
    <xf numFmtId="0" fontId="4" fillId="0" borderId="0"/>
    <xf numFmtId="0" fontId="2"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2" fontId="4" fillId="0" borderId="0" applyFont="0" applyFill="0" applyBorder="0" applyAlignment="0" applyProtection="0"/>
    <xf numFmtId="41" fontId="4" fillId="0" borderId="0" applyFont="0" applyFill="0" applyBorder="0" applyAlignment="0" applyProtection="0"/>
    <xf numFmtId="44" fontId="4" fillId="0" borderId="0" applyFont="0" applyFill="0" applyBorder="0" applyAlignment="0" applyProtection="0"/>
    <xf numFmtId="0" fontId="97" fillId="0" borderId="0" applyNumberFormat="0" applyFont="0" applyFill="0" applyBorder="0" applyProtection="0"/>
    <xf numFmtId="15" fontId="97" fillId="0" borderId="0" applyFont="0" applyFill="0" applyBorder="0" applyAlignment="0" applyProtection="0"/>
    <xf numFmtId="4" fontId="97" fillId="0" borderId="0" applyFont="0" applyFill="0" applyBorder="0" applyAlignment="0" applyProtection="0"/>
    <xf numFmtId="0" fontId="98" fillId="0" borderId="9">
      <alignment horizontal="center"/>
    </xf>
    <xf numFmtId="3" fontId="97" fillId="0" borderId="0" applyFont="0" applyFill="0" applyBorder="0" applyAlignment="0" applyProtection="0"/>
    <xf numFmtId="0" fontId="97" fillId="15" borderId="0" applyNumberFormat="0" applyFont="0" applyBorder="0" applyAlignment="0" applyProtection="0"/>
    <xf numFmtId="43" fontId="99" fillId="0" borderId="0" applyFont="0" applyFill="0" applyBorder="0" applyAlignment="0" applyProtection="0"/>
    <xf numFmtId="43" fontId="4"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4" fillId="0" borderId="0"/>
    <xf numFmtId="0" fontId="4" fillId="0" borderId="0"/>
    <xf numFmtId="9" fontId="1" fillId="0" borderId="0" applyFont="0" applyFill="0" applyBorder="0" applyAlignment="0" applyProtection="0"/>
    <xf numFmtId="0" fontId="74" fillId="0" borderId="0"/>
    <xf numFmtId="43" fontId="74" fillId="0" borderId="0" applyFont="0" applyFill="0" applyBorder="0" applyAlignment="0" applyProtection="0"/>
    <xf numFmtId="170" fontId="14" fillId="0" borderId="0" applyProtection="0"/>
    <xf numFmtId="44" fontId="1" fillId="0" borderId="0" applyFont="0" applyFill="0" applyBorder="0" applyAlignment="0" applyProtection="0"/>
    <xf numFmtId="9" fontId="4" fillId="0" borderId="0" applyFont="0" applyFill="0" applyBorder="0" applyAlignment="0" applyProtection="0"/>
    <xf numFmtId="170" fontId="14" fillId="0" borderId="0" applyProtection="0"/>
    <xf numFmtId="0" fontId="4" fillId="0" borderId="0"/>
    <xf numFmtId="0" fontId="14" fillId="0" borderId="0" applyProtection="0"/>
    <xf numFmtId="0" fontId="4" fillId="0" borderId="0"/>
    <xf numFmtId="0" fontId="4" fillId="0" borderId="0"/>
    <xf numFmtId="170" fontId="14" fillId="0" borderId="0" applyProtection="0"/>
    <xf numFmtId="0" fontId="4" fillId="0" borderId="0"/>
    <xf numFmtId="170" fontId="14" fillId="0" borderId="0" applyProtection="0"/>
    <xf numFmtId="170" fontId="14" fillId="0" borderId="0" applyProtection="0"/>
    <xf numFmtId="170" fontId="14" fillId="0" borderId="0" applyProtection="0"/>
    <xf numFmtId="0" fontId="1" fillId="0" borderId="0"/>
    <xf numFmtId="170" fontId="14" fillId="0" borderId="0" applyProtection="0"/>
    <xf numFmtId="9" fontId="4" fillId="0" borderId="0" applyFont="0" applyFill="0" applyBorder="0" applyAlignment="0" applyProtection="0"/>
    <xf numFmtId="0" fontId="4" fillId="0" borderId="0"/>
    <xf numFmtId="43" fontId="4" fillId="0" borderId="0" applyFont="0" applyFill="0" applyBorder="0" applyAlignment="0" applyProtection="0"/>
  </cellStyleXfs>
  <cellXfs count="1682">
    <xf numFmtId="0" fontId="0" fillId="0" borderId="0" xfId="0"/>
    <xf numFmtId="0" fontId="6" fillId="0" borderId="0" xfId="0" applyFont="1"/>
    <xf numFmtId="0" fontId="0" fillId="0" borderId="0" xfId="0" applyFill="1"/>
    <xf numFmtId="0" fontId="6" fillId="0" borderId="0" xfId="0" applyNumberFormat="1" applyFont="1" applyAlignment="1">
      <alignment horizontal="right"/>
    </xf>
    <xf numFmtId="0" fontId="8" fillId="0" borderId="0" xfId="0" applyNumberFormat="1" applyFont="1" applyAlignment="1">
      <alignment horizontal="center"/>
    </xf>
    <xf numFmtId="0" fontId="8" fillId="0" borderId="0" xfId="0" applyFont="1" applyAlignment="1"/>
    <xf numFmtId="0" fontId="14" fillId="0" borderId="0" xfId="0" applyNumberFormat="1" applyFont="1" applyFill="1"/>
    <xf numFmtId="0" fontId="6" fillId="0" borderId="1" xfId="0" applyFont="1" applyBorder="1"/>
    <xf numFmtId="173" fontId="6" fillId="0" borderId="0" xfId="5" applyNumberFormat="1" applyFont="1" applyAlignment="1"/>
    <xf numFmtId="3" fontId="6" fillId="0" borderId="2" xfId="0" applyNumberFormat="1" applyFont="1" applyBorder="1" applyAlignment="1"/>
    <xf numFmtId="0" fontId="6" fillId="0" borderId="2" xfId="0" applyFont="1" applyBorder="1"/>
    <xf numFmtId="3" fontId="6" fillId="0" borderId="2" xfId="0" applyNumberFormat="1" applyFont="1" applyBorder="1"/>
    <xf numFmtId="0" fontId="6" fillId="0" borderId="0" xfId="0" applyNumberFormat="1" applyFont="1" applyFill="1" applyAlignment="1">
      <alignment horizontal="center"/>
    </xf>
    <xf numFmtId="0" fontId="6" fillId="0" borderId="0" xfId="0" applyNumberFormat="1" applyFont="1" applyFill="1" applyBorder="1" applyAlignment="1"/>
    <xf numFmtId="0" fontId="8" fillId="0" borderId="0" xfId="0" applyFont="1"/>
    <xf numFmtId="0" fontId="8" fillId="0" borderId="0" xfId="0" applyNumberFormat="1" applyFont="1" applyAlignment="1">
      <alignment horizontal="left"/>
    </xf>
    <xf numFmtId="0" fontId="8" fillId="0" borderId="0" xfId="0" applyFont="1" applyFill="1" applyAlignment="1"/>
    <xf numFmtId="0" fontId="8" fillId="0" borderId="0" xfId="0" applyFont="1" applyFill="1"/>
    <xf numFmtId="0" fontId="8" fillId="0" borderId="1" xfId="0" applyFont="1" applyFill="1" applyBorder="1" applyAlignment="1"/>
    <xf numFmtId="0" fontId="8" fillId="0" borderId="1" xfId="0" applyFont="1" applyBorder="1"/>
    <xf numFmtId="0" fontId="8" fillId="0" borderId="1" xfId="0" applyFont="1" applyFill="1" applyBorder="1"/>
    <xf numFmtId="0" fontId="8" fillId="0" borderId="1" xfId="0" applyFont="1" applyBorder="1" applyAlignment="1"/>
    <xf numFmtId="10" fontId="8" fillId="0" borderId="0" xfId="0" applyNumberFormat="1" applyFont="1" applyFill="1" applyAlignment="1">
      <alignment horizontal="right"/>
    </xf>
    <xf numFmtId="0" fontId="8" fillId="0" borderId="0" xfId="0" applyFont="1" applyBorder="1" applyAlignment="1"/>
    <xf numFmtId="173" fontId="8" fillId="0" borderId="0" xfId="0" applyNumberFormat="1" applyFont="1" applyAlignment="1">
      <alignment horizontal="right"/>
    </xf>
    <xf numFmtId="10" fontId="8" fillId="0" borderId="0" xfId="0" applyNumberFormat="1" applyFont="1" applyAlignment="1">
      <alignment horizontal="right"/>
    </xf>
    <xf numFmtId="3" fontId="18" fillId="0" borderId="0" xfId="0" applyNumberFormat="1" applyFont="1" applyBorder="1" applyAlignment="1">
      <alignment horizontal="right"/>
    </xf>
    <xf numFmtId="0" fontId="8" fillId="0" borderId="0" xfId="0" applyFont="1" applyFill="1" applyAlignment="1">
      <alignment horizontal="left"/>
    </xf>
    <xf numFmtId="0" fontId="8" fillId="0" borderId="0" xfId="0" applyFont="1" applyAlignment="1">
      <alignment horizontal="left"/>
    </xf>
    <xf numFmtId="3" fontId="8" fillId="0" borderId="1" xfId="0" applyNumberFormat="1" applyFont="1" applyBorder="1" applyAlignment="1">
      <alignment horizontal="right"/>
    </xf>
    <xf numFmtId="3" fontId="6" fillId="0" borderId="1" xfId="0" applyNumberFormat="1" applyFont="1" applyBorder="1" applyAlignment="1">
      <alignment horizontal="right"/>
    </xf>
    <xf numFmtId="0" fontId="8" fillId="0" borderId="0" xfId="0" applyFont="1" applyAlignment="1">
      <alignment horizontal="right"/>
    </xf>
    <xf numFmtId="166" fontId="6" fillId="0" borderId="0" xfId="0" applyNumberFormat="1" applyFont="1" applyAlignment="1"/>
    <xf numFmtId="0" fontId="8" fillId="0" borderId="0" xfId="0" applyFont="1" applyFill="1" applyBorder="1" applyAlignment="1"/>
    <xf numFmtId="3" fontId="17" fillId="0" borderId="0" xfId="0" applyNumberFormat="1" applyFont="1" applyBorder="1" applyAlignment="1">
      <alignment horizontal="right"/>
    </xf>
    <xf numFmtId="0" fontId="8" fillId="0" borderId="0" xfId="0" applyFont="1" applyBorder="1"/>
    <xf numFmtId="3" fontId="6" fillId="0" borderId="0" xfId="0" quotePrefix="1" applyNumberFormat="1" applyFont="1" applyBorder="1" applyAlignment="1">
      <alignment horizontal="right"/>
    </xf>
    <xf numFmtId="3" fontId="8" fillId="0" borderId="0" xfId="0" applyNumberFormat="1" applyFont="1"/>
    <xf numFmtId="0" fontId="8" fillId="0" borderId="0" xfId="0" applyFont="1" applyAlignment="1">
      <alignment horizontal="center"/>
    </xf>
    <xf numFmtId="0" fontId="8" fillId="0" borderId="0" xfId="0" applyFont="1" applyFill="1" applyAlignment="1">
      <alignment horizontal="center"/>
    </xf>
    <xf numFmtId="0" fontId="8" fillId="0" borderId="3" xfId="0" applyFont="1" applyFill="1" applyBorder="1" applyAlignment="1">
      <alignment horizontal="left"/>
    </xf>
    <xf numFmtId="0" fontId="8" fillId="0" borderId="3" xfId="0" applyFont="1" applyBorder="1" applyAlignment="1"/>
    <xf numFmtId="173" fontId="8" fillId="0" borderId="3" xfId="0" applyNumberFormat="1" applyFont="1" applyBorder="1" applyAlignment="1">
      <alignment horizontal="right"/>
    </xf>
    <xf numFmtId="0" fontId="8" fillId="0" borderId="0" xfId="0" applyFont="1" applyFill="1" applyAlignment="1">
      <alignment horizontal="right"/>
    </xf>
    <xf numFmtId="0" fontId="8" fillId="0" borderId="0" xfId="0" applyFont="1" applyFill="1" applyBorder="1"/>
    <xf numFmtId="173" fontId="6" fillId="0" borderId="2" xfId="5" applyNumberFormat="1" applyFont="1" applyBorder="1" applyAlignment="1"/>
    <xf numFmtId="0" fontId="8" fillId="0" borderId="2" xfId="0" applyFont="1" applyBorder="1"/>
    <xf numFmtId="168" fontId="6" fillId="0" borderId="2" xfId="0" applyNumberFormat="1" applyFont="1" applyBorder="1" applyAlignment="1">
      <alignment horizontal="left"/>
    </xf>
    <xf numFmtId="169" fontId="6" fillId="0" borderId="2" xfId="0" applyNumberFormat="1" applyFont="1" applyBorder="1" applyAlignment="1">
      <alignment horizontal="center"/>
    </xf>
    <xf numFmtId="0" fontId="8" fillId="0" borderId="0" xfId="0" applyFont="1" applyFill="1" applyBorder="1" applyAlignment="1">
      <alignment horizontal="center" wrapText="1"/>
    </xf>
    <xf numFmtId="0" fontId="8" fillId="0" borderId="2" xfId="0" applyFont="1" applyBorder="1" applyAlignment="1"/>
    <xf numFmtId="0" fontId="8" fillId="3" borderId="0" xfId="0" applyFont="1" applyFill="1" applyAlignment="1"/>
    <xf numFmtId="0" fontId="8" fillId="3" borderId="0" xfId="0" applyFont="1" applyFill="1"/>
    <xf numFmtId="164" fontId="8" fillId="2" borderId="0" xfId="1" applyNumberFormat="1" applyFont="1" applyFill="1" applyBorder="1"/>
    <xf numFmtId="0" fontId="8" fillId="0" borderId="0" xfId="0" applyNumberFormat="1" applyFont="1" applyBorder="1"/>
    <xf numFmtId="173" fontId="8" fillId="0" borderId="0" xfId="0" applyNumberFormat="1" applyFont="1" applyBorder="1" applyAlignment="1">
      <alignment horizontal="right"/>
    </xf>
    <xf numFmtId="175" fontId="8" fillId="0" borderId="0" xfId="5" applyNumberFormat="1" applyFont="1"/>
    <xf numFmtId="43" fontId="8" fillId="0" borderId="0" xfId="1" applyFont="1"/>
    <xf numFmtId="0" fontId="6" fillId="0" borderId="1" xfId="0" applyFont="1" applyBorder="1" applyAlignment="1"/>
    <xf numFmtId="3" fontId="6" fillId="0" borderId="1" xfId="0" applyNumberFormat="1" applyFont="1" applyBorder="1"/>
    <xf numFmtId="0" fontId="8" fillId="3" borderId="0" xfId="0" applyNumberFormat="1" applyFont="1" applyFill="1" applyAlignment="1">
      <alignment horizontal="center"/>
    </xf>
    <xf numFmtId="0" fontId="7" fillId="0" borderId="0" xfId="0" applyFont="1"/>
    <xf numFmtId="0" fontId="21" fillId="0" borderId="4" xfId="0" applyFont="1" applyBorder="1" applyAlignment="1"/>
    <xf numFmtId="0" fontId="16" fillId="0" borderId="4" xfId="0" applyFont="1" applyBorder="1" applyAlignment="1"/>
    <xf numFmtId="3" fontId="16" fillId="0" borderId="4" xfId="0" applyNumberFormat="1" applyFont="1" applyBorder="1"/>
    <xf numFmtId="164" fontId="8" fillId="0" borderId="0" xfId="1" applyNumberFormat="1" applyFont="1"/>
    <xf numFmtId="0" fontId="6" fillId="0" borderId="4" xfId="0" applyFont="1" applyBorder="1"/>
    <xf numFmtId="0" fontId="16" fillId="0" borderId="0" xfId="0" applyNumberFormat="1" applyFont="1" applyBorder="1" applyAlignment="1">
      <alignment horizontal="center"/>
    </xf>
    <xf numFmtId="0" fontId="16" fillId="0" borderId="4" xfId="0" applyNumberFormat="1" applyFont="1" applyBorder="1" applyAlignment="1">
      <alignment horizontal="center"/>
    </xf>
    <xf numFmtId="0" fontId="6" fillId="0" borderId="0" xfId="0" applyNumberFormat="1" applyFont="1" applyBorder="1" applyAlignment="1">
      <alignment horizontal="left"/>
    </xf>
    <xf numFmtId="164" fontId="6" fillId="0" borderId="2" xfId="1" applyNumberFormat="1" applyFont="1" applyFill="1" applyBorder="1" applyAlignment="1">
      <alignment horizontal="right"/>
    </xf>
    <xf numFmtId="0" fontId="12" fillId="0" borderId="0" xfId="0" applyFont="1" applyFill="1" applyAlignment="1">
      <alignment horizontal="center"/>
    </xf>
    <xf numFmtId="0" fontId="8" fillId="0" borderId="0" xfId="0" applyFont="1" applyBorder="1" applyAlignment="1">
      <alignment horizontal="center"/>
    </xf>
    <xf numFmtId="0" fontId="10" fillId="0" borderId="0" xfId="0" applyFont="1" applyFill="1" applyAlignment="1">
      <alignment horizontal="center"/>
    </xf>
    <xf numFmtId="0" fontId="8" fillId="0" borderId="1" xfId="0" applyFont="1" applyBorder="1" applyAlignment="1">
      <alignment horizontal="center"/>
    </xf>
    <xf numFmtId="0" fontId="8" fillId="0" borderId="2" xfId="0" applyFont="1" applyBorder="1" applyAlignment="1">
      <alignment horizontal="center"/>
    </xf>
    <xf numFmtId="0" fontId="6" fillId="0" borderId="2" xfId="0" applyFont="1" applyBorder="1" applyAlignment="1">
      <alignment horizontal="center"/>
    </xf>
    <xf numFmtId="0" fontId="8" fillId="0" borderId="1" xfId="0" applyFont="1" applyFill="1" applyBorder="1" applyAlignment="1">
      <alignment horizontal="center"/>
    </xf>
    <xf numFmtId="0" fontId="8" fillId="0" borderId="3" xfId="0" applyFont="1" applyBorder="1" applyAlignment="1">
      <alignment horizontal="center"/>
    </xf>
    <xf numFmtId="3" fontId="6" fillId="0" borderId="2" xfId="0" applyNumberFormat="1" applyFont="1" applyBorder="1" applyAlignment="1">
      <alignment horizontal="center"/>
    </xf>
    <xf numFmtId="0" fontId="8" fillId="0" borderId="0" xfId="0" applyNumberFormat="1" applyFont="1" applyFill="1" applyBorder="1" applyAlignment="1">
      <alignment horizontal="center"/>
    </xf>
    <xf numFmtId="3" fontId="6" fillId="0" borderId="1" xfId="0" applyNumberFormat="1" applyFont="1" applyBorder="1" applyAlignment="1">
      <alignment horizontal="center"/>
    </xf>
    <xf numFmtId="0" fontId="16" fillId="0" borderId="4" xfId="0" applyFont="1" applyBorder="1" applyAlignment="1">
      <alignment horizontal="center"/>
    </xf>
    <xf numFmtId="0" fontId="10" fillId="0" borderId="0" xfId="0" applyFont="1" applyFill="1" applyBorder="1" applyAlignment="1">
      <alignment horizontal="center"/>
    </xf>
    <xf numFmtId="0" fontId="22" fillId="0" borderId="0" xfId="0" applyFont="1" applyBorder="1" applyAlignment="1"/>
    <xf numFmtId="0" fontId="23" fillId="0" borderId="0" xfId="0" applyFont="1" applyBorder="1" applyAlignment="1">
      <alignment horizontal="center"/>
    </xf>
    <xf numFmtId="37" fontId="22" fillId="0" borderId="0" xfId="0" applyNumberFormat="1" applyFont="1" applyBorder="1" applyAlignment="1">
      <alignment horizontal="left"/>
    </xf>
    <xf numFmtId="0" fontId="22" fillId="0" borderId="0" xfId="0" applyFont="1" applyFill="1" applyAlignment="1"/>
    <xf numFmtId="0" fontId="10" fillId="0" borderId="3" xfId="0" applyFont="1" applyFill="1" applyBorder="1" applyAlignment="1">
      <alignment horizontal="center"/>
    </xf>
    <xf numFmtId="0" fontId="8" fillId="0" borderId="0" xfId="0" applyFont="1" applyFill="1" applyBorder="1" applyAlignment="1">
      <alignment horizontal="center"/>
    </xf>
    <xf numFmtId="0" fontId="21" fillId="0" borderId="0" xfId="0" applyFont="1" applyBorder="1" applyAlignment="1"/>
    <xf numFmtId="0" fontId="22" fillId="0" borderId="0" xfId="0" applyFont="1" applyAlignment="1"/>
    <xf numFmtId="0" fontId="6" fillId="0" borderId="0" xfId="0" applyFont="1" applyFill="1"/>
    <xf numFmtId="37" fontId="16" fillId="0" borderId="4" xfId="0" applyNumberFormat="1" applyFont="1" applyBorder="1" applyAlignment="1">
      <alignment horizontal="center"/>
    </xf>
    <xf numFmtId="0" fontId="6" fillId="0" borderId="0" xfId="0" applyFont="1" applyFill="1" applyBorder="1"/>
    <xf numFmtId="3" fontId="6" fillId="0" borderId="0" xfId="0" applyNumberFormat="1" applyFont="1" applyFill="1" applyBorder="1"/>
    <xf numFmtId="0" fontId="0" fillId="0" borderId="0" xfId="0" applyAlignment="1">
      <alignment horizontal="center"/>
    </xf>
    <xf numFmtId="0" fontId="27" fillId="0" borderId="0" xfId="0" applyFont="1"/>
    <xf numFmtId="0" fontId="27" fillId="0" borderId="0" xfId="0" applyFont="1" applyFill="1"/>
    <xf numFmtId="0" fontId="27" fillId="0" borderId="0" xfId="0" applyFont="1" applyBorder="1"/>
    <xf numFmtId="0" fontId="26" fillId="0" borderId="0" xfId="0" applyFont="1" applyBorder="1"/>
    <xf numFmtId="0" fontId="13" fillId="0" borderId="0" xfId="0" applyFont="1"/>
    <xf numFmtId="0" fontId="28" fillId="0" borderId="0" xfId="0" applyFont="1" applyAlignment="1">
      <alignment horizontal="center"/>
    </xf>
    <xf numFmtId="0" fontId="13" fillId="0" borderId="0" xfId="0" applyFont="1" applyFill="1"/>
    <xf numFmtId="164" fontId="6" fillId="0" borderId="0" xfId="1" applyNumberFormat="1" applyFont="1" applyAlignment="1"/>
    <xf numFmtId="164" fontId="6" fillId="2" borderId="0" xfId="1" applyNumberFormat="1" applyFont="1" applyFill="1"/>
    <xf numFmtId="3" fontId="8" fillId="0" borderId="0" xfId="0" applyNumberFormat="1" applyFont="1" applyFill="1" applyBorder="1" applyAlignment="1">
      <alignment horizontal="right"/>
    </xf>
    <xf numFmtId="0" fontId="25" fillId="0" borderId="0" xfId="0" applyFont="1" applyFill="1" applyBorder="1" applyAlignment="1">
      <alignment horizontal="left"/>
    </xf>
    <xf numFmtId="0" fontId="6" fillId="0" borderId="0" xfId="0" applyFont="1" applyFill="1" applyBorder="1" applyAlignment="1">
      <alignment horizontal="center" wrapText="1"/>
    </xf>
    <xf numFmtId="0" fontId="8" fillId="0" borderId="0" xfId="0" applyFont="1" applyAlignment="1">
      <alignment wrapText="1"/>
    </xf>
    <xf numFmtId="0" fontId="8" fillId="2" borderId="0" xfId="0" applyFont="1" applyFill="1"/>
    <xf numFmtId="0" fontId="8" fillId="0" borderId="3" xfId="0" applyFont="1" applyBorder="1"/>
    <xf numFmtId="10" fontId="8" fillId="0" borderId="0" xfId="5" applyNumberFormat="1" applyFont="1" applyFill="1"/>
    <xf numFmtId="164" fontId="0" fillId="0" borderId="0" xfId="1" applyNumberFormat="1" applyFont="1"/>
    <xf numFmtId="43" fontId="0" fillId="0" borderId="0" xfId="0" applyNumberFormat="1"/>
    <xf numFmtId="0" fontId="0" fillId="0" borderId="6" xfId="0" applyBorder="1"/>
    <xf numFmtId="0" fontId="0" fillId="0" borderId="0" xfId="0" applyBorder="1"/>
    <xf numFmtId="0" fontId="0" fillId="0" borderId="7" xfId="0" applyBorder="1"/>
    <xf numFmtId="0" fontId="0" fillId="0" borderId="8" xfId="0" applyBorder="1"/>
    <xf numFmtId="0" fontId="0" fillId="0" borderId="9" xfId="0" applyBorder="1"/>
    <xf numFmtId="0" fontId="0" fillId="0" borderId="10" xfId="0" applyBorder="1"/>
    <xf numFmtId="164" fontId="0" fillId="0" borderId="0" xfId="1" applyNumberFormat="1" applyFont="1" applyFill="1"/>
    <xf numFmtId="173" fontId="0" fillId="0" borderId="0" xfId="5" applyNumberFormat="1" applyFont="1"/>
    <xf numFmtId="0" fontId="5" fillId="0" borderId="0" xfId="0" applyFont="1" applyAlignment="1">
      <alignment horizontal="left"/>
    </xf>
    <xf numFmtId="0" fontId="8" fillId="2" borderId="3" xfId="0" applyFont="1" applyFill="1" applyBorder="1"/>
    <xf numFmtId="3" fontId="6" fillId="0" borderId="1" xfId="0" applyNumberFormat="1" applyFont="1" applyFill="1" applyBorder="1" applyAlignment="1">
      <alignment horizontal="right"/>
    </xf>
    <xf numFmtId="3" fontId="6" fillId="0" borderId="1" xfId="0" applyNumberFormat="1" applyFont="1" applyBorder="1" applyAlignment="1"/>
    <xf numFmtId="3" fontId="6" fillId="2" borderId="1" xfId="0" applyNumberFormat="1" applyFont="1" applyFill="1" applyBorder="1" applyAlignment="1"/>
    <xf numFmtId="3" fontId="6" fillId="0" borderId="1" xfId="0" applyNumberFormat="1" applyFont="1" applyFill="1" applyBorder="1" applyAlignment="1"/>
    <xf numFmtId="164" fontId="6" fillId="0" borderId="0" xfId="1" applyNumberFormat="1" applyFont="1" applyFill="1" applyAlignment="1"/>
    <xf numFmtId="10" fontId="14" fillId="0" borderId="0" xfId="0" applyNumberFormat="1" applyFont="1" applyFill="1"/>
    <xf numFmtId="0" fontId="8" fillId="0" borderId="3" xfId="0" applyFont="1" applyFill="1" applyBorder="1" applyAlignment="1">
      <alignment horizontal="center"/>
    </xf>
    <xf numFmtId="0" fontId="22" fillId="0" borderId="0" xfId="0" applyFont="1" applyAlignment="1">
      <alignment vertical="center" wrapText="1"/>
    </xf>
    <xf numFmtId="0" fontId="31" fillId="0" borderId="0" xfId="0" applyFont="1" applyFill="1" applyBorder="1" applyAlignment="1">
      <alignment horizontal="center"/>
    </xf>
    <xf numFmtId="0" fontId="30" fillId="0" borderId="0" xfId="0" applyFont="1" applyBorder="1" applyAlignment="1">
      <alignment horizontal="center"/>
    </xf>
    <xf numFmtId="0" fontId="30" fillId="0" borderId="0" xfId="0" applyNumberFormat="1" applyFont="1" applyBorder="1" applyAlignment="1">
      <alignment horizontal="left"/>
    </xf>
    <xf numFmtId="0" fontId="33" fillId="0" borderId="0" xfId="0" applyNumberFormat="1" applyFont="1" applyFill="1" applyAlignment="1"/>
    <xf numFmtId="0" fontId="22" fillId="0" borderId="0" xfId="0" applyNumberFormat="1" applyFont="1" applyAlignment="1">
      <alignment horizontal="center"/>
    </xf>
    <xf numFmtId="0" fontId="22" fillId="0" borderId="0" xfId="0" applyFont="1" applyFill="1" applyBorder="1"/>
    <xf numFmtId="0" fontId="22" fillId="0" borderId="0" xfId="0" applyFont="1" applyBorder="1" applyAlignment="1">
      <alignment horizontal="center"/>
    </xf>
    <xf numFmtId="0" fontId="22" fillId="0" borderId="1" xfId="0" applyNumberFormat="1" applyFont="1" applyBorder="1" applyAlignment="1"/>
    <xf numFmtId="3" fontId="22" fillId="0" borderId="1" xfId="0" applyNumberFormat="1" applyFont="1" applyBorder="1" applyAlignment="1"/>
    <xf numFmtId="3" fontId="22" fillId="0" borderId="1" xfId="0" applyNumberFormat="1" applyFont="1" applyBorder="1" applyAlignment="1">
      <alignment horizontal="center"/>
    </xf>
    <xf numFmtId="0" fontId="33" fillId="0" borderId="2" xfId="0" applyNumberFormat="1" applyFont="1" applyFill="1" applyBorder="1" applyAlignment="1"/>
    <xf numFmtId="0" fontId="22" fillId="0" borderId="2" xfId="0" applyFont="1" applyFill="1" applyBorder="1" applyAlignment="1"/>
    <xf numFmtId="3" fontId="22" fillId="0" borderId="2" xfId="0" applyNumberFormat="1" applyFont="1" applyFill="1" applyBorder="1" applyAlignment="1">
      <alignment horizontal="center"/>
    </xf>
    <xf numFmtId="3" fontId="22" fillId="0" borderId="0" xfId="0" applyNumberFormat="1" applyFont="1" applyFill="1" applyAlignment="1">
      <alignment horizontal="center"/>
    </xf>
    <xf numFmtId="0" fontId="34" fillId="0" borderId="0" xfId="0" applyFont="1" applyFill="1" applyBorder="1" applyAlignment="1">
      <alignment horizontal="center"/>
    </xf>
    <xf numFmtId="0" fontId="22" fillId="0" borderId="0" xfId="0" applyFont="1" applyFill="1" applyBorder="1" applyAlignment="1"/>
    <xf numFmtId="0" fontId="35" fillId="3" borderId="0" xfId="0" applyFont="1" applyFill="1" applyBorder="1" applyAlignment="1"/>
    <xf numFmtId="0" fontId="22" fillId="3" borderId="0" xfId="0" applyFont="1" applyFill="1" applyBorder="1" applyAlignment="1"/>
    <xf numFmtId="0" fontId="33" fillId="3" borderId="0" xfId="0" applyNumberFormat="1" applyFont="1" applyFill="1" applyBorder="1" applyAlignment="1">
      <alignment horizontal="center"/>
    </xf>
    <xf numFmtId="0" fontId="35" fillId="0" borderId="0" xfId="0" applyFont="1" applyFill="1" applyBorder="1" applyAlignment="1"/>
    <xf numFmtId="0" fontId="33" fillId="0" borderId="0" xfId="0" applyNumberFormat="1" applyFont="1" applyFill="1" applyBorder="1" applyAlignment="1">
      <alignment horizontal="center"/>
    </xf>
    <xf numFmtId="3" fontId="22" fillId="0" borderId="0" xfId="0" applyNumberFormat="1" applyFont="1" applyBorder="1" applyAlignment="1"/>
    <xf numFmtId="0" fontId="22" fillId="0" borderId="0" xfId="0" applyNumberFormat="1" applyFont="1" applyBorder="1" applyAlignment="1"/>
    <xf numFmtId="3" fontId="22" fillId="0" borderId="0" xfId="0" applyNumberFormat="1" applyFont="1" applyBorder="1" applyAlignment="1">
      <alignment horizontal="center"/>
    </xf>
    <xf numFmtId="0" fontId="33" fillId="0" borderId="0" xfId="0" applyNumberFormat="1" applyFont="1" applyFill="1" applyBorder="1" applyAlignment="1">
      <alignment horizontal="left"/>
    </xf>
    <xf numFmtId="3" fontId="22" fillId="0" borderId="0" xfId="0" applyNumberFormat="1" applyFont="1" applyFill="1" applyBorder="1" applyAlignment="1"/>
    <xf numFmtId="0" fontId="22" fillId="0" borderId="0" xfId="0" applyNumberFormat="1" applyFont="1" applyFill="1" applyBorder="1" applyAlignment="1"/>
    <xf numFmtId="0" fontId="34" fillId="0" borderId="0" xfId="0" applyFont="1" applyFill="1" applyBorder="1"/>
    <xf numFmtId="3" fontId="34" fillId="0" borderId="0" xfId="0" applyNumberFormat="1" applyFont="1" applyFill="1" applyBorder="1" applyAlignment="1">
      <alignment horizontal="center"/>
    </xf>
    <xf numFmtId="0" fontId="22" fillId="0" borderId="0" xfId="0" applyFont="1" applyFill="1" applyBorder="1" applyAlignment="1">
      <alignment horizontal="left"/>
    </xf>
    <xf numFmtId="0" fontId="22" fillId="0" borderId="0" xfId="0" applyNumberFormat="1" applyFont="1" applyBorder="1" applyAlignment="1">
      <alignment horizontal="center"/>
    </xf>
    <xf numFmtId="0" fontId="33" fillId="0" borderId="0" xfId="0" applyFont="1" applyBorder="1" applyAlignment="1">
      <alignment horizontal="left"/>
    </xf>
    <xf numFmtId="0" fontId="22" fillId="0" borderId="0" xfId="0" applyNumberFormat="1" applyFont="1" applyFill="1" applyBorder="1" applyAlignment="1">
      <alignment horizontal="left"/>
    </xf>
    <xf numFmtId="0" fontId="22" fillId="0" borderId="0" xfId="0" applyNumberFormat="1" applyFont="1" applyBorder="1" applyAlignment="1">
      <alignment horizontal="left"/>
    </xf>
    <xf numFmtId="3" fontId="33" fillId="0" borderId="0" xfId="0" applyNumberFormat="1" applyFont="1" applyBorder="1" applyAlignment="1"/>
    <xf numFmtId="3" fontId="33" fillId="0" borderId="0" xfId="0" applyNumberFormat="1" applyFont="1" applyFill="1" applyBorder="1" applyAlignment="1"/>
    <xf numFmtId="0" fontId="22" fillId="0" borderId="0" xfId="0" applyFont="1" applyFill="1" applyBorder="1" applyAlignment="1">
      <alignment horizontal="center"/>
    </xf>
    <xf numFmtId="0" fontId="33" fillId="0" borderId="0" xfId="0" applyNumberFormat="1" applyFont="1" applyBorder="1" applyAlignment="1"/>
    <xf numFmtId="0" fontId="33" fillId="0" borderId="0" xfId="0" applyFont="1" applyBorder="1" applyAlignment="1"/>
    <xf numFmtId="0" fontId="33" fillId="0" borderId="0" xfId="0" applyFont="1" applyBorder="1" applyAlignment="1">
      <alignment horizontal="center"/>
    </xf>
    <xf numFmtId="168" fontId="33" fillId="0" borderId="0" xfId="0" applyNumberFormat="1" applyFont="1" applyBorder="1" applyAlignment="1">
      <alignment horizontal="left"/>
    </xf>
    <xf numFmtId="0" fontId="22" fillId="0" borderId="0" xfId="0" applyFont="1" applyBorder="1"/>
    <xf numFmtId="168" fontId="22" fillId="0" borderId="0" xfId="0" applyNumberFormat="1" applyFont="1" applyBorder="1" applyAlignment="1">
      <alignment horizontal="left"/>
    </xf>
    <xf numFmtId="0" fontId="39" fillId="0" borderId="5" xfId="0" applyNumberFormat="1" applyFont="1" applyBorder="1" applyAlignment="1">
      <alignment horizontal="center"/>
    </xf>
    <xf numFmtId="0" fontId="39" fillId="0" borderId="0" xfId="0" applyNumberFormat="1" applyFont="1" applyBorder="1" applyAlignment="1">
      <alignment horizontal="center"/>
    </xf>
    <xf numFmtId="0" fontId="33" fillId="0" borderId="0" xfId="0" applyNumberFormat="1" applyFont="1" applyBorder="1" applyAlignment="1">
      <alignment horizontal="left"/>
    </xf>
    <xf numFmtId="0" fontId="39" fillId="0" borderId="0" xfId="0" applyNumberFormat="1" applyFont="1" applyFill="1" applyBorder="1" applyAlignment="1"/>
    <xf numFmtId="0" fontId="39" fillId="0" borderId="0" xfId="0" applyFont="1" applyFill="1" applyBorder="1" applyAlignment="1"/>
    <xf numFmtId="3" fontId="39" fillId="0" borderId="0" xfId="0" applyNumberFormat="1" applyFont="1" applyBorder="1" applyAlignment="1">
      <alignment horizontal="center"/>
    </xf>
    <xf numFmtId="0" fontId="22" fillId="0" borderId="0" xfId="0" applyNumberFormat="1" applyFont="1" applyFill="1" applyBorder="1" applyAlignment="1">
      <alignment horizontal="center"/>
    </xf>
    <xf numFmtId="3" fontId="39" fillId="0" borderId="0" xfId="0" applyNumberFormat="1" applyFont="1" applyFill="1" applyBorder="1" applyAlignment="1">
      <alignment horizontal="center"/>
    </xf>
    <xf numFmtId="0" fontId="33" fillId="0" borderId="0" xfId="0" applyNumberFormat="1" applyFont="1" applyFill="1" applyBorder="1" applyAlignment="1"/>
    <xf numFmtId="0" fontId="39" fillId="0" borderId="4" xfId="0" applyNumberFormat="1" applyFont="1" applyBorder="1" applyAlignment="1">
      <alignment horizontal="left"/>
    </xf>
    <xf numFmtId="0" fontId="33" fillId="0" borderId="0" xfId="0" applyFont="1" applyFill="1" applyBorder="1"/>
    <xf numFmtId="0" fontId="34" fillId="0" borderId="0" xfId="0" applyFont="1" applyBorder="1" applyAlignment="1">
      <alignment horizontal="center"/>
    </xf>
    <xf numFmtId="0" fontId="23" fillId="2" borderId="0" xfId="0" applyFont="1" applyFill="1" applyBorder="1" applyAlignment="1">
      <alignment horizontal="center"/>
    </xf>
    <xf numFmtId="0" fontId="39" fillId="0" borderId="4" xfId="0" applyNumberFormat="1" applyFont="1" applyBorder="1" applyAlignment="1">
      <alignment horizontal="center"/>
    </xf>
    <xf numFmtId="0" fontId="33" fillId="0" borderId="6" xfId="0" applyNumberFormat="1" applyFont="1" applyFill="1" applyBorder="1" applyAlignment="1">
      <alignment horizontal="center"/>
    </xf>
    <xf numFmtId="3" fontId="22" fillId="0" borderId="7" xfId="0" applyNumberFormat="1" applyFont="1" applyBorder="1" applyAlignment="1"/>
    <xf numFmtId="0" fontId="22" fillId="0" borderId="6" xfId="0" applyNumberFormat="1" applyFont="1" applyBorder="1" applyAlignment="1">
      <alignment horizontal="center"/>
    </xf>
    <xf numFmtId="0" fontId="34" fillId="0" borderId="0" xfId="0" applyFont="1" applyFill="1" applyBorder="1" applyAlignment="1">
      <alignment horizontal="left"/>
    </xf>
    <xf numFmtId="0" fontId="22" fillId="0" borderId="6" xfId="0" applyFont="1" applyBorder="1" applyAlignment="1">
      <alignment horizontal="center"/>
    </xf>
    <xf numFmtId="0" fontId="22" fillId="0" borderId="7" xfId="0" applyFont="1" applyBorder="1"/>
    <xf numFmtId="0" fontId="22" fillId="0" borderId="7" xfId="0" applyFont="1" applyFill="1" applyBorder="1"/>
    <xf numFmtId="3" fontId="22" fillId="0" borderId="11" xfId="0" applyNumberFormat="1" applyFont="1" applyBorder="1" applyAlignment="1"/>
    <xf numFmtId="0" fontId="22" fillId="0" borderId="7" xfId="0" applyFont="1" applyBorder="1" applyAlignment="1"/>
    <xf numFmtId="3" fontId="22" fillId="0" borderId="12" xfId="0" applyNumberFormat="1" applyFont="1" applyBorder="1" applyAlignment="1"/>
    <xf numFmtId="3" fontId="22" fillId="0" borderId="0" xfId="0" applyNumberFormat="1" applyFont="1" applyFill="1" applyBorder="1" applyAlignment="1">
      <alignment horizontal="center"/>
    </xf>
    <xf numFmtId="0" fontId="22" fillId="0" borderId="6" xfId="0" applyNumberFormat="1" applyFont="1" applyFill="1" applyBorder="1" applyAlignment="1">
      <alignment horizontal="center"/>
    </xf>
    <xf numFmtId="3" fontId="22" fillId="0" borderId="7" xfId="0" applyNumberFormat="1" applyFont="1" applyFill="1" applyBorder="1" applyAlignment="1"/>
    <xf numFmtId="0" fontId="22" fillId="0" borderId="6" xfId="0" applyNumberFormat="1" applyFont="1" applyBorder="1" applyAlignment="1">
      <alignment horizontal="left"/>
    </xf>
    <xf numFmtId="0" fontId="35" fillId="3" borderId="6" xfId="0" applyFont="1" applyFill="1" applyBorder="1" applyAlignment="1">
      <alignment horizontal="left"/>
    </xf>
    <xf numFmtId="0" fontId="22" fillId="3" borderId="7" xfId="0" applyFont="1" applyFill="1" applyBorder="1"/>
    <xf numFmtId="0" fontId="36" fillId="0" borderId="6" xfId="0" applyFont="1" applyFill="1" applyBorder="1" applyAlignment="1">
      <alignment horizontal="center"/>
    </xf>
    <xf numFmtId="0" fontId="22" fillId="0" borderId="6" xfId="0" applyFont="1" applyFill="1" applyBorder="1" applyAlignment="1">
      <alignment horizontal="center"/>
    </xf>
    <xf numFmtId="0" fontId="22" fillId="0" borderId="0" xfId="0" applyFont="1" applyFill="1" applyBorder="1" applyAlignment="1">
      <alignment horizontal="right"/>
    </xf>
    <xf numFmtId="0" fontId="22" fillId="0" borderId="7" xfId="0" applyFont="1" applyFill="1" applyBorder="1" applyAlignment="1">
      <alignment horizontal="left"/>
    </xf>
    <xf numFmtId="0" fontId="23" fillId="0" borderId="0" xfId="0" applyFont="1" applyFill="1" applyBorder="1"/>
    <xf numFmtId="3" fontId="37" fillId="0" borderId="0" xfId="0" applyNumberFormat="1" applyFont="1" applyFill="1" applyBorder="1" applyAlignment="1">
      <alignment horizontal="center"/>
    </xf>
    <xf numFmtId="0" fontId="22" fillId="4" borderId="6" xfId="0" applyNumberFormat="1" applyFont="1" applyFill="1" applyBorder="1" applyAlignment="1">
      <alignment horizontal="center"/>
    </xf>
    <xf numFmtId="3" fontId="34" fillId="0" borderId="7" xfId="0" applyNumberFormat="1" applyFont="1" applyBorder="1" applyAlignment="1">
      <alignment horizontal="right"/>
    </xf>
    <xf numFmtId="0" fontId="38" fillId="0" borderId="0" xfId="0" applyNumberFormat="1" applyFont="1" applyFill="1" applyBorder="1" applyAlignment="1">
      <alignment horizontal="left"/>
    </xf>
    <xf numFmtId="0" fontId="22" fillId="0" borderId="7" xfId="0" applyNumberFormat="1" applyFont="1" applyBorder="1" applyAlignment="1">
      <alignment horizontal="left"/>
    </xf>
    <xf numFmtId="0" fontId="22" fillId="0" borderId="0" xfId="0" applyNumberFormat="1" applyFont="1" applyFill="1" applyBorder="1" applyAlignment="1">
      <alignment horizontal="right"/>
    </xf>
    <xf numFmtId="0" fontId="37" fillId="0" borderId="0" xfId="0" applyFont="1" applyFill="1" applyBorder="1" applyAlignment="1">
      <alignment horizontal="center"/>
    </xf>
    <xf numFmtId="3" fontId="34" fillId="0" borderId="7" xfId="0" applyNumberFormat="1" applyFont="1" applyFill="1" applyBorder="1" applyAlignment="1">
      <alignment horizontal="right"/>
    </xf>
    <xf numFmtId="0" fontId="22" fillId="0" borderId="7" xfId="0" applyNumberFormat="1" applyFont="1" applyFill="1" applyBorder="1" applyAlignment="1">
      <alignment horizontal="left"/>
    </xf>
    <xf numFmtId="0" fontId="22" fillId="0" borderId="0" xfId="0" applyFont="1" applyBorder="1" applyAlignment="1">
      <alignment horizontal="left"/>
    </xf>
    <xf numFmtId="0" fontId="33" fillId="0" borderId="0" xfId="0" applyNumberFormat="1" applyFont="1" applyFill="1" applyBorder="1" applyAlignment="1">
      <alignment horizontal="right"/>
    </xf>
    <xf numFmtId="0" fontId="33" fillId="0" borderId="6" xfId="0" applyFont="1" applyBorder="1"/>
    <xf numFmtId="0" fontId="33" fillId="0" borderId="0" xfId="0" applyFont="1" applyBorder="1"/>
    <xf numFmtId="3" fontId="34" fillId="0" borderId="0" xfId="0" applyNumberFormat="1" applyFont="1" applyBorder="1" applyAlignment="1">
      <alignment horizontal="center"/>
    </xf>
    <xf numFmtId="0" fontId="33" fillId="3" borderId="0" xfId="0" applyNumberFormat="1" applyFont="1" applyFill="1" applyBorder="1" applyAlignment="1">
      <alignment horizontal="left"/>
    </xf>
    <xf numFmtId="0" fontId="22" fillId="0" borderId="7" xfId="0" applyFont="1" applyFill="1" applyBorder="1" applyAlignment="1"/>
    <xf numFmtId="0" fontId="22" fillId="0" borderId="7" xfId="0" applyNumberFormat="1" applyFont="1" applyFill="1" applyBorder="1" applyAlignment="1"/>
    <xf numFmtId="0" fontId="22" fillId="0" borderId="7" xfId="0" applyFont="1" applyBorder="1" applyAlignment="1">
      <alignment horizontal="right"/>
    </xf>
    <xf numFmtId="0" fontId="22" fillId="0" borderId="0" xfId="0" applyNumberFormat="1" applyFont="1" applyBorder="1" applyAlignment="1">
      <alignment horizontal="right"/>
    </xf>
    <xf numFmtId="0" fontId="34" fillId="0" borderId="0" xfId="0" applyNumberFormat="1" applyFont="1" applyFill="1" applyBorder="1" applyAlignment="1">
      <alignment horizontal="center"/>
    </xf>
    <xf numFmtId="0" fontId="22" fillId="0" borderId="7" xfId="0" applyNumberFormat="1" applyFont="1" applyBorder="1" applyAlignment="1"/>
    <xf numFmtId="3" fontId="22" fillId="0" borderId="0" xfId="0" applyNumberFormat="1" applyFont="1" applyBorder="1" applyAlignment="1">
      <alignment horizontal="left"/>
    </xf>
    <xf numFmtId="0" fontId="22" fillId="0" borderId="0" xfId="0" applyNumberFormat="1" applyFont="1" applyFill="1" applyBorder="1"/>
    <xf numFmtId="170" fontId="22" fillId="0" borderId="0" xfId="0" applyNumberFormat="1" applyFont="1" applyBorder="1" applyAlignment="1"/>
    <xf numFmtId="0" fontId="39" fillId="0" borderId="6" xfId="0" applyNumberFormat="1" applyFont="1" applyBorder="1" applyAlignment="1">
      <alignment horizontal="center"/>
    </xf>
    <xf numFmtId="3" fontId="33" fillId="0" borderId="7" xfId="0" applyNumberFormat="1" applyFont="1" applyBorder="1" applyAlignment="1"/>
    <xf numFmtId="0" fontId="41" fillId="0" borderId="6" xfId="0" applyFont="1" applyBorder="1" applyAlignment="1">
      <alignment horizontal="left"/>
    </xf>
    <xf numFmtId="0" fontId="22" fillId="4" borderId="7" xfId="0" applyFont="1" applyFill="1" applyBorder="1" applyAlignment="1"/>
    <xf numFmtId="0" fontId="42" fillId="2" borderId="0" xfId="0" applyFont="1" applyFill="1" applyBorder="1" applyAlignment="1"/>
    <xf numFmtId="0" fontId="39" fillId="0" borderId="13" xfId="0" applyNumberFormat="1" applyFont="1" applyBorder="1" applyAlignment="1">
      <alignment horizontal="center"/>
    </xf>
    <xf numFmtId="0" fontId="34" fillId="0" borderId="0" xfId="0" applyFont="1" applyFill="1" applyBorder="1" applyAlignment="1"/>
    <xf numFmtId="3" fontId="34" fillId="0" borderId="0" xfId="0" applyNumberFormat="1" applyFont="1" applyBorder="1" applyAlignment="1">
      <alignment horizontal="right"/>
    </xf>
    <xf numFmtId="3" fontId="34" fillId="0" borderId="0" xfId="0" applyNumberFormat="1" applyFont="1" applyFill="1" applyBorder="1" applyAlignment="1">
      <alignment horizontal="right"/>
    </xf>
    <xf numFmtId="0" fontId="33" fillId="0" borderId="0" xfId="0" applyNumberFormat="1" applyFont="1" applyBorder="1" applyAlignment="1">
      <alignment horizontal="center"/>
    </xf>
    <xf numFmtId="0" fontId="34" fillId="0" borderId="0" xfId="0" applyNumberFormat="1" applyFont="1" applyBorder="1" applyAlignment="1">
      <alignment horizontal="center"/>
    </xf>
    <xf numFmtId="165" fontId="22" fillId="0" borderId="0" xfId="3" applyFont="1" applyBorder="1" applyAlignment="1">
      <alignment vertical="center"/>
    </xf>
    <xf numFmtId="3" fontId="33" fillId="0" borderId="0" xfId="0" applyNumberFormat="1" applyFont="1" applyBorder="1" applyAlignment="1">
      <alignment horizontal="center"/>
    </xf>
    <xf numFmtId="0" fontId="33" fillId="0" borderId="0" xfId="0" applyFont="1" applyFill="1" applyBorder="1" applyAlignment="1"/>
    <xf numFmtId="0" fontId="40" fillId="0" borderId="0" xfId="0" applyNumberFormat="1" applyFont="1" applyBorder="1" applyAlignment="1">
      <alignment horizontal="center"/>
    </xf>
    <xf numFmtId="0" fontId="39" fillId="0" borderId="0" xfId="0" applyNumberFormat="1" applyFont="1" applyBorder="1" applyAlignment="1">
      <alignment horizontal="left"/>
    </xf>
    <xf numFmtId="0" fontId="39" fillId="0" borderId="0" xfId="0" applyFont="1" applyFill="1" applyBorder="1"/>
    <xf numFmtId="0" fontId="39" fillId="0" borderId="0" xfId="0" applyFont="1" applyBorder="1" applyAlignment="1">
      <alignment horizontal="center"/>
    </xf>
    <xf numFmtId="3" fontId="39" fillId="0" borderId="7" xfId="0" applyNumberFormat="1" applyFont="1" applyBorder="1" applyAlignment="1"/>
    <xf numFmtId="0" fontId="22" fillId="0" borderId="8" xfId="0" applyNumberFormat="1" applyFont="1" applyFill="1" applyBorder="1" applyAlignment="1">
      <alignment horizontal="center"/>
    </xf>
    <xf numFmtId="0" fontId="22" fillId="0" borderId="9" xfId="0" applyNumberFormat="1" applyFont="1" applyBorder="1" applyAlignment="1">
      <alignment horizontal="center"/>
    </xf>
    <xf numFmtId="0" fontId="22" fillId="0" borderId="9" xfId="0" applyFont="1" applyBorder="1" applyAlignment="1"/>
    <xf numFmtId="0" fontId="34" fillId="0" borderId="9" xfId="0" applyFont="1" applyBorder="1" applyAlignment="1">
      <alignment horizontal="center"/>
    </xf>
    <xf numFmtId="0" fontId="22" fillId="0" borderId="10" xfId="0" applyFont="1" applyFill="1" applyBorder="1"/>
    <xf numFmtId="0" fontId="22" fillId="0" borderId="9" xfId="0" applyNumberFormat="1" applyFont="1" applyFill="1" applyBorder="1" applyAlignment="1">
      <alignment horizontal="center"/>
    </xf>
    <xf numFmtId="0" fontId="22" fillId="0" borderId="9" xfId="0" applyNumberFormat="1" applyFont="1" applyFill="1" applyBorder="1" applyAlignment="1"/>
    <xf numFmtId="0" fontId="22" fillId="0" borderId="9" xfId="0" applyFont="1" applyFill="1" applyBorder="1" applyAlignment="1"/>
    <xf numFmtId="3" fontId="34" fillId="0" borderId="9" xfId="0" applyNumberFormat="1" applyFont="1" applyBorder="1" applyAlignment="1">
      <alignment horizontal="center"/>
    </xf>
    <xf numFmtId="3" fontId="22" fillId="0" borderId="9" xfId="0" applyNumberFormat="1" applyFont="1" applyBorder="1" applyAlignment="1"/>
    <xf numFmtId="0" fontId="44" fillId="0" borderId="0" xfId="0" applyFont="1" applyFill="1" applyBorder="1" applyAlignment="1">
      <alignment horizontal="left"/>
    </xf>
    <xf numFmtId="0" fontId="22" fillId="0" borderId="9" xfId="0" applyNumberFormat="1" applyFont="1" applyFill="1" applyBorder="1" applyAlignment="1">
      <alignment horizontal="right"/>
    </xf>
    <xf numFmtId="0" fontId="22" fillId="0" borderId="9" xfId="0" applyNumberFormat="1" applyFont="1" applyFill="1" applyBorder="1" applyAlignment="1">
      <alignment horizontal="left"/>
    </xf>
    <xf numFmtId="0" fontId="34" fillId="0" borderId="9" xfId="0" applyNumberFormat="1" applyFont="1" applyFill="1" applyBorder="1" applyAlignment="1">
      <alignment horizontal="center"/>
    </xf>
    <xf numFmtId="0" fontId="22" fillId="0" borderId="10" xfId="0" applyNumberFormat="1" applyFont="1" applyFill="1" applyBorder="1" applyAlignment="1">
      <alignment horizontal="left"/>
    </xf>
    <xf numFmtId="0" fontId="22" fillId="0" borderId="9" xfId="0" applyNumberFormat="1" applyFont="1" applyBorder="1" applyAlignment="1"/>
    <xf numFmtId="0" fontId="34" fillId="0" borderId="9" xfId="0" applyFont="1" applyFill="1" applyBorder="1" applyAlignment="1">
      <alignment horizontal="center"/>
    </xf>
    <xf numFmtId="3" fontId="22" fillId="0" borderId="10" xfId="0" applyNumberFormat="1" applyFont="1" applyFill="1" applyBorder="1" applyAlignment="1"/>
    <xf numFmtId="0" fontId="22" fillId="0" borderId="9" xfId="0" applyFont="1" applyBorder="1"/>
    <xf numFmtId="3" fontId="34" fillId="0" borderId="9" xfId="0" applyNumberFormat="1" applyFont="1" applyFill="1" applyBorder="1" applyAlignment="1">
      <alignment horizontal="center"/>
    </xf>
    <xf numFmtId="3" fontId="22" fillId="0" borderId="9" xfId="0" applyNumberFormat="1" applyFont="1" applyFill="1" applyBorder="1" applyAlignment="1"/>
    <xf numFmtId="0" fontId="22" fillId="0" borderId="10" xfId="0" applyNumberFormat="1" applyFont="1" applyFill="1" applyBorder="1" applyAlignment="1"/>
    <xf numFmtId="0" fontId="22" fillId="0" borderId="8" xfId="0" applyNumberFormat="1" applyFont="1" applyBorder="1" applyAlignment="1">
      <alignment horizontal="center"/>
    </xf>
    <xf numFmtId="0" fontId="22" fillId="0" borderId="9" xfId="0" applyNumberFormat="1" applyFont="1" applyFill="1" applyBorder="1"/>
    <xf numFmtId="170" fontId="22" fillId="0" borderId="9" xfId="0" applyNumberFormat="1" applyFont="1" applyBorder="1" applyAlignment="1"/>
    <xf numFmtId="0" fontId="34" fillId="0" borderId="9" xfId="0" applyFont="1" applyFill="1" applyBorder="1" applyAlignment="1"/>
    <xf numFmtId="0" fontId="22" fillId="0" borderId="7" xfId="0" applyNumberFormat="1" applyFont="1" applyFill="1" applyBorder="1" applyAlignment="1">
      <alignment horizontal="center"/>
    </xf>
    <xf numFmtId="0" fontId="22" fillId="0" borderId="10" xfId="0" applyNumberFormat="1" applyFont="1" applyFill="1" applyBorder="1" applyAlignment="1">
      <alignment horizontal="center"/>
    </xf>
    <xf numFmtId="0" fontId="27" fillId="0" borderId="7" xfId="0" applyFont="1" applyBorder="1"/>
    <xf numFmtId="0" fontId="27" fillId="0" borderId="9" xfId="0" applyFont="1" applyBorder="1"/>
    <xf numFmtId="0" fontId="27" fillId="0" borderId="6" xfId="0" applyFont="1" applyBorder="1"/>
    <xf numFmtId="0" fontId="27" fillId="0" borderId="0" xfId="0" applyFont="1" applyFill="1" applyBorder="1" applyAlignment="1">
      <alignment horizontal="center" wrapText="1"/>
    </xf>
    <xf numFmtId="0" fontId="30" fillId="0" borderId="6" xfId="0" applyFont="1" applyBorder="1" applyAlignment="1">
      <alignment horizontal="center"/>
    </xf>
    <xf numFmtId="0" fontId="30" fillId="0" borderId="6" xfId="0" applyFont="1" applyBorder="1"/>
    <xf numFmtId="0" fontId="30" fillId="0" borderId="0" xfId="0" applyFont="1" applyFill="1" applyBorder="1" applyAlignment="1">
      <alignment horizontal="center" wrapText="1"/>
    </xf>
    <xf numFmtId="0" fontId="27" fillId="0" borderId="8" xfId="0" applyFont="1" applyBorder="1"/>
    <xf numFmtId="0" fontId="27" fillId="0" borderId="10" xfId="0" applyFont="1" applyBorder="1"/>
    <xf numFmtId="0" fontId="30" fillId="0" borderId="8" xfId="0" applyFont="1" applyBorder="1" applyAlignment="1">
      <alignment horizontal="center"/>
    </xf>
    <xf numFmtId="0" fontId="45" fillId="0" borderId="0" xfId="0" applyFont="1"/>
    <xf numFmtId="0" fontId="26" fillId="5" borderId="14" xfId="0" applyFont="1" applyFill="1" applyBorder="1" applyAlignment="1">
      <alignment horizontal="center" wrapText="1"/>
    </xf>
    <xf numFmtId="0" fontId="26" fillId="5" borderId="15" xfId="0" applyFont="1" applyFill="1" applyBorder="1" applyAlignment="1">
      <alignment horizontal="center" wrapText="1"/>
    </xf>
    <xf numFmtId="0" fontId="30" fillId="0" borderId="10" xfId="0" applyFont="1" applyBorder="1" applyAlignment="1">
      <alignment horizontal="center"/>
    </xf>
    <xf numFmtId="0" fontId="26" fillId="5" borderId="16" xfId="0" applyFont="1" applyFill="1" applyBorder="1" applyAlignment="1">
      <alignment horizontal="center" wrapText="1"/>
    </xf>
    <xf numFmtId="0" fontId="30" fillId="0" borderId="9" xfId="0" applyFont="1" applyBorder="1" applyAlignment="1">
      <alignment horizontal="center"/>
    </xf>
    <xf numFmtId="0" fontId="26" fillId="0" borderId="9" xfId="0" applyFont="1" applyBorder="1"/>
    <xf numFmtId="0" fontId="46" fillId="0" borderId="0" xfId="0" applyFont="1" applyAlignment="1">
      <alignment horizontal="center"/>
    </xf>
    <xf numFmtId="0" fontId="32" fillId="5" borderId="14" xfId="0" applyFont="1" applyFill="1" applyBorder="1" applyAlignment="1">
      <alignment horizontal="center"/>
    </xf>
    <xf numFmtId="0" fontId="32" fillId="5" borderId="15" xfId="0" applyFont="1" applyFill="1" applyBorder="1" applyAlignment="1">
      <alignment horizontal="center"/>
    </xf>
    <xf numFmtId="0" fontId="27" fillId="0" borderId="0" xfId="0" applyFont="1" applyBorder="1" applyAlignment="1"/>
    <xf numFmtId="0" fontId="27" fillId="0" borderId="7" xfId="0" applyFont="1" applyBorder="1" applyAlignment="1"/>
    <xf numFmtId="0" fontId="27" fillId="0" borderId="0" xfId="0" applyFont="1" applyFill="1" applyBorder="1" applyAlignment="1">
      <alignment horizontal="center"/>
    </xf>
    <xf numFmtId="0" fontId="27" fillId="0" borderId="7" xfId="0" applyFont="1" applyFill="1" applyBorder="1" applyAlignment="1">
      <alignment horizontal="center"/>
    </xf>
    <xf numFmtId="0" fontId="27" fillId="0" borderId="9" xfId="0" applyFont="1" applyBorder="1" applyAlignment="1"/>
    <xf numFmtId="0" fontId="27" fillId="0" borderId="10" xfId="0" applyFont="1" applyBorder="1" applyAlignment="1"/>
    <xf numFmtId="0" fontId="11" fillId="5" borderId="14" xfId="0" applyFont="1" applyFill="1" applyBorder="1" applyAlignment="1">
      <alignment horizontal="center"/>
    </xf>
    <xf numFmtId="2" fontId="22" fillId="0" borderId="0" xfId="0" applyNumberFormat="1" applyFont="1" applyFill="1" applyBorder="1" applyAlignment="1">
      <alignment horizontal="center"/>
    </xf>
    <xf numFmtId="0" fontId="33" fillId="0" borderId="0" xfId="0" applyFont="1" applyFill="1" applyBorder="1" applyAlignment="1">
      <alignment horizontal="center"/>
    </xf>
    <xf numFmtId="2" fontId="33" fillId="0" borderId="6" xfId="0" applyNumberFormat="1" applyFont="1" applyFill="1" applyBorder="1" applyAlignment="1">
      <alignment horizontal="center"/>
    </xf>
    <xf numFmtId="0" fontId="30" fillId="0" borderId="0" xfId="0" applyFont="1" applyBorder="1"/>
    <xf numFmtId="0" fontId="30" fillId="0" borderId="7" xfId="0" applyFont="1" applyBorder="1" applyAlignment="1">
      <alignment horizontal="center"/>
    </xf>
    <xf numFmtId="0" fontId="8" fillId="0" borderId="3" xfId="0" applyFont="1" applyFill="1" applyBorder="1"/>
    <xf numFmtId="0" fontId="30" fillId="3" borderId="0" xfId="0" applyFont="1" applyFill="1" applyBorder="1" applyAlignment="1">
      <alignment horizontal="center"/>
    </xf>
    <xf numFmtId="0" fontId="27" fillId="3" borderId="0" xfId="0" applyFont="1" applyFill="1" applyBorder="1"/>
    <xf numFmtId="0" fontId="27" fillId="3" borderId="7" xfId="0" applyFont="1" applyFill="1" applyBorder="1"/>
    <xf numFmtId="0" fontId="11" fillId="0" borderId="0" xfId="0" applyFont="1"/>
    <xf numFmtId="0" fontId="27" fillId="0" borderId="16" xfId="0" applyFont="1" applyBorder="1"/>
    <xf numFmtId="0" fontId="27" fillId="0" borderId="14" xfId="0" applyFont="1" applyBorder="1" applyAlignment="1">
      <alignment horizontal="center"/>
    </xf>
    <xf numFmtId="0" fontId="30" fillId="0" borderId="16" xfId="0" applyFont="1" applyBorder="1" applyAlignment="1">
      <alignment horizontal="center"/>
    </xf>
    <xf numFmtId="0" fontId="30" fillId="0" borderId="14" xfId="0" applyFont="1" applyBorder="1" applyAlignment="1">
      <alignment horizontal="center"/>
    </xf>
    <xf numFmtId="164" fontId="30" fillId="0" borderId="15" xfId="1" applyNumberFormat="1" applyFont="1" applyBorder="1" applyAlignment="1">
      <alignment horizontal="center"/>
    </xf>
    <xf numFmtId="0" fontId="30" fillId="0" borderId="15" xfId="0" applyFont="1" applyBorder="1" applyAlignment="1">
      <alignment horizontal="center"/>
    </xf>
    <xf numFmtId="0" fontId="27" fillId="0" borderId="0" xfId="0" applyFont="1" applyBorder="1" applyAlignment="1">
      <alignment horizontal="center"/>
    </xf>
    <xf numFmtId="0" fontId="27" fillId="0" borderId="6" xfId="0" applyFont="1" applyBorder="1" applyAlignment="1">
      <alignment horizontal="center"/>
    </xf>
    <xf numFmtId="164" fontId="27" fillId="0" borderId="7" xfId="1" applyNumberFormat="1" applyFont="1" applyBorder="1" applyAlignment="1">
      <alignment horizontal="center"/>
    </xf>
    <xf numFmtId="0" fontId="27" fillId="0" borderId="7" xfId="0" applyFont="1" applyBorder="1" applyAlignment="1">
      <alignment horizontal="center"/>
    </xf>
    <xf numFmtId="164" fontId="27" fillId="0" borderId="7" xfId="1" applyNumberFormat="1" applyFont="1" applyBorder="1"/>
    <xf numFmtId="164" fontId="27" fillId="0" borderId="6" xfId="1" applyNumberFormat="1" applyFont="1" applyBorder="1"/>
    <xf numFmtId="164" fontId="27" fillId="0" borderId="0" xfId="1" applyNumberFormat="1" applyFont="1" applyBorder="1"/>
    <xf numFmtId="0" fontId="27" fillId="0" borderId="9" xfId="0" applyFont="1" applyBorder="1" applyAlignment="1">
      <alignment horizontal="center"/>
    </xf>
    <xf numFmtId="164" fontId="27" fillId="0" borderId="8" xfId="1" applyNumberFormat="1" applyFont="1" applyBorder="1"/>
    <xf numFmtId="164" fontId="27" fillId="0" borderId="9" xfId="1" applyNumberFormat="1" applyFont="1" applyBorder="1"/>
    <xf numFmtId="164" fontId="27" fillId="0" borderId="10" xfId="1" applyNumberFormat="1" applyFont="1" applyBorder="1"/>
    <xf numFmtId="0" fontId="30" fillId="0" borderId="17" xfId="0" applyFont="1" applyBorder="1" applyAlignment="1">
      <alignment horizontal="center"/>
    </xf>
    <xf numFmtId="0" fontId="30" fillId="0" borderId="14" xfId="0" applyFont="1" applyFill="1" applyBorder="1" applyAlignment="1">
      <alignment horizontal="center"/>
    </xf>
    <xf numFmtId="0" fontId="30" fillId="0" borderId="15" xfId="0" applyFont="1" applyFill="1" applyBorder="1" applyAlignment="1">
      <alignment horizontal="center"/>
    </xf>
    <xf numFmtId="0" fontId="27" fillId="0" borderId="18" xfId="0" applyFont="1" applyBorder="1" applyAlignment="1">
      <alignment horizontal="center"/>
    </xf>
    <xf numFmtId="164" fontId="27" fillId="0" borderId="0" xfId="0" applyNumberFormat="1" applyFont="1" applyBorder="1"/>
    <xf numFmtId="167" fontId="27" fillId="0" borderId="7" xfId="0" applyNumberFormat="1" applyFont="1" applyBorder="1"/>
    <xf numFmtId="167" fontId="27" fillId="0" borderId="0" xfId="0" applyNumberFormat="1" applyFont="1" applyBorder="1"/>
    <xf numFmtId="164" fontId="27" fillId="0" borderId="6" xfId="0" applyNumberFormat="1" applyFont="1" applyBorder="1"/>
    <xf numFmtId="164" fontId="30" fillId="0" borderId="6" xfId="0" applyNumberFormat="1" applyFont="1" applyBorder="1"/>
    <xf numFmtId="164" fontId="30" fillId="0" borderId="18" xfId="0" applyNumberFormat="1" applyFont="1" applyBorder="1"/>
    <xf numFmtId="164" fontId="30" fillId="0" borderId="0" xfId="0" applyNumberFormat="1" applyFont="1" applyBorder="1"/>
    <xf numFmtId="164" fontId="30" fillId="0" borderId="7" xfId="1" applyNumberFormat="1" applyFont="1" applyBorder="1"/>
    <xf numFmtId="164" fontId="30" fillId="0" borderId="8" xfId="0" applyNumberFormat="1" applyFont="1" applyBorder="1"/>
    <xf numFmtId="164" fontId="30" fillId="0" borderId="19" xfId="0" applyNumberFormat="1" applyFont="1" applyBorder="1"/>
    <xf numFmtId="164" fontId="30" fillId="0" borderId="9" xfId="0" applyNumberFormat="1" applyFont="1" applyBorder="1"/>
    <xf numFmtId="164" fontId="30" fillId="0" borderId="10" xfId="1" applyNumberFormat="1" applyFont="1" applyBorder="1"/>
    <xf numFmtId="167" fontId="27" fillId="0" borderId="9" xfId="0" applyNumberFormat="1" applyFont="1" applyBorder="1"/>
    <xf numFmtId="0" fontId="27" fillId="0" borderId="0" xfId="0" applyFont="1" applyAlignment="1">
      <alignment horizontal="center"/>
    </xf>
    <xf numFmtId="164" fontId="27" fillId="0" borderId="0" xfId="1" applyNumberFormat="1" applyFont="1"/>
    <xf numFmtId="167" fontId="27" fillId="0" borderId="0" xfId="2" applyNumberFormat="1" applyFont="1"/>
    <xf numFmtId="0" fontId="22" fillId="0" borderId="0" xfId="0" applyFont="1"/>
    <xf numFmtId="0" fontId="22" fillId="0" borderId="0" xfId="0" applyFont="1" applyAlignment="1">
      <alignment horizontal="center"/>
    </xf>
    <xf numFmtId="0" fontId="30" fillId="0" borderId="17" xfId="0" applyFont="1" applyFill="1" applyBorder="1" applyAlignment="1">
      <alignment horizontal="center"/>
    </xf>
    <xf numFmtId="167" fontId="27" fillId="0" borderId="18" xfId="2" applyNumberFormat="1" applyFont="1" applyBorder="1"/>
    <xf numFmtId="167" fontId="27" fillId="0" borderId="19" xfId="2" applyNumberFormat="1" applyFont="1" applyBorder="1"/>
    <xf numFmtId="0" fontId="27" fillId="0" borderId="6" xfId="0" applyFont="1" applyFill="1" applyBorder="1"/>
    <xf numFmtId="164" fontId="27" fillId="0" borderId="6" xfId="1" applyNumberFormat="1" applyFont="1" applyFill="1" applyBorder="1"/>
    <xf numFmtId="164" fontId="27" fillId="0" borderId="0" xfId="1" applyNumberFormat="1" applyFont="1" applyFill="1" applyBorder="1"/>
    <xf numFmtId="164" fontId="27" fillId="0" borderId="7" xfId="1" applyNumberFormat="1" applyFont="1" applyFill="1" applyBorder="1"/>
    <xf numFmtId="0" fontId="0" fillId="0" borderId="0" xfId="0" applyFill="1" applyBorder="1" applyAlignment="1">
      <alignment horizontal="center"/>
    </xf>
    <xf numFmtId="0" fontId="0" fillId="0" borderId="0" xfId="0" applyFill="1" applyBorder="1"/>
    <xf numFmtId="164" fontId="0" fillId="0" borderId="0" xfId="1" applyNumberFormat="1" applyFont="1" applyFill="1" applyBorder="1"/>
    <xf numFmtId="0" fontId="27" fillId="0" borderId="15" xfId="0" applyFont="1" applyBorder="1"/>
    <xf numFmtId="0" fontId="27" fillId="0" borderId="7" xfId="0" applyFont="1" applyFill="1" applyBorder="1"/>
    <xf numFmtId="0" fontId="47" fillId="0" borderId="0" xfId="0" applyFont="1" applyAlignment="1">
      <alignment horizontal="center"/>
    </xf>
    <xf numFmtId="0" fontId="47" fillId="0" borderId="0" xfId="0" applyFont="1"/>
    <xf numFmtId="0" fontId="48" fillId="0" borderId="0" xfId="0" applyFont="1"/>
    <xf numFmtId="164" fontId="47" fillId="0" borderId="0" xfId="1" applyNumberFormat="1" applyFont="1"/>
    <xf numFmtId="0" fontId="47" fillId="0" borderId="0" xfId="0" applyFont="1" applyAlignment="1">
      <alignment horizontal="left"/>
    </xf>
    <xf numFmtId="164" fontId="47" fillId="0" borderId="0" xfId="0" applyNumberFormat="1" applyFont="1"/>
    <xf numFmtId="173" fontId="47" fillId="0" borderId="0" xfId="5" applyNumberFormat="1" applyFont="1"/>
    <xf numFmtId="167" fontId="47" fillId="0" borderId="0" xfId="0" applyNumberFormat="1" applyFont="1"/>
    <xf numFmtId="164" fontId="47" fillId="0" borderId="0" xfId="0" applyNumberFormat="1" applyFont="1" applyAlignment="1">
      <alignment horizontal="left"/>
    </xf>
    <xf numFmtId="164" fontId="47" fillId="0" borderId="0" xfId="0" applyNumberFormat="1" applyFont="1" applyAlignment="1">
      <alignment horizontal="center"/>
    </xf>
    <xf numFmtId="173" fontId="47" fillId="0" borderId="0" xfId="0" applyNumberFormat="1" applyFont="1"/>
    <xf numFmtId="168" fontId="47" fillId="0" borderId="0" xfId="5" applyNumberFormat="1" applyFont="1"/>
    <xf numFmtId="0" fontId="13" fillId="0" borderId="6" xfId="0" applyFont="1" applyBorder="1"/>
    <xf numFmtId="164" fontId="47" fillId="0" borderId="0" xfId="1" applyNumberFormat="1" applyFont="1" applyFill="1"/>
    <xf numFmtId="173" fontId="47" fillId="2" borderId="0" xfId="5" applyNumberFormat="1" applyFont="1" applyFill="1"/>
    <xf numFmtId="0" fontId="47" fillId="0" borderId="0" xfId="0" applyFont="1" applyFill="1"/>
    <xf numFmtId="164" fontId="47" fillId="0" borderId="0" xfId="0" applyNumberFormat="1" applyFont="1" applyFill="1"/>
    <xf numFmtId="0" fontId="47" fillId="0" borderId="0" xfId="0" applyNumberFormat="1" applyFont="1" applyAlignment="1">
      <alignment horizontal="left"/>
    </xf>
    <xf numFmtId="3" fontId="8" fillId="0" borderId="0" xfId="0" applyNumberFormat="1" applyFont="1" applyAlignment="1">
      <alignment horizontal="center"/>
    </xf>
    <xf numFmtId="0" fontId="27" fillId="0" borderId="0" xfId="0" applyFont="1" applyAlignment="1">
      <alignment horizontal="right"/>
    </xf>
    <xf numFmtId="0" fontId="8" fillId="6" borderId="14" xfId="0" applyFont="1" applyFill="1" applyBorder="1" applyAlignment="1"/>
    <xf numFmtId="0" fontId="8" fillId="6" borderId="14" xfId="0" applyFont="1" applyFill="1" applyBorder="1" applyAlignment="1">
      <alignment horizontal="center"/>
    </xf>
    <xf numFmtId="0" fontId="25" fillId="6" borderId="16" xfId="0" applyFont="1" applyFill="1" applyBorder="1" applyAlignment="1">
      <alignment horizontal="left"/>
    </xf>
    <xf numFmtId="3" fontId="6" fillId="0" borderId="0" xfId="0" applyNumberFormat="1" applyFont="1" applyFill="1" applyAlignment="1"/>
    <xf numFmtId="0" fontId="7" fillId="0" borderId="0" xfId="0" applyFont="1" applyFill="1"/>
    <xf numFmtId="0" fontId="28" fillId="0" borderId="0" xfId="0" applyFont="1" applyAlignment="1">
      <alignment horizontal="right"/>
    </xf>
    <xf numFmtId="0" fontId="5" fillId="0" borderId="0" xfId="0" applyFont="1" applyAlignment="1"/>
    <xf numFmtId="0" fontId="51" fillId="0" borderId="0" xfId="0" applyFont="1" applyAlignment="1"/>
    <xf numFmtId="3" fontId="27" fillId="0" borderId="0" xfId="0" applyNumberFormat="1" applyFont="1" applyBorder="1" applyAlignment="1">
      <alignment horizontal="center"/>
    </xf>
    <xf numFmtId="3" fontId="27" fillId="0" borderId="9" xfId="0" applyNumberFormat="1" applyFont="1" applyBorder="1" applyAlignment="1">
      <alignment horizontal="center"/>
    </xf>
    <xf numFmtId="164" fontId="27" fillId="0" borderId="8" xfId="1" applyNumberFormat="1" applyFont="1" applyBorder="1" applyAlignment="1">
      <alignment horizontal="center"/>
    </xf>
    <xf numFmtId="164" fontId="27" fillId="0" borderId="9" xfId="1" applyNumberFormat="1" applyFont="1" applyBorder="1" applyAlignment="1">
      <alignment horizontal="center"/>
    </xf>
    <xf numFmtId="10" fontId="27" fillId="0" borderId="8" xfId="5" applyNumberFormat="1" applyFont="1" applyBorder="1" applyAlignment="1">
      <alignment horizontal="center"/>
    </xf>
    <xf numFmtId="164" fontId="27" fillId="0" borderId="8" xfId="0" applyNumberFormat="1" applyFont="1" applyBorder="1" applyAlignment="1">
      <alignment horizontal="center"/>
    </xf>
    <xf numFmtId="164" fontId="30" fillId="0" borderId="8" xfId="1" applyNumberFormat="1" applyFont="1" applyBorder="1" applyAlignment="1">
      <alignment horizontal="center"/>
    </xf>
    <xf numFmtId="164" fontId="47" fillId="4" borderId="0" xfId="0" applyNumberFormat="1" applyFont="1" applyFill="1"/>
    <xf numFmtId="3" fontId="27" fillId="0" borderId="6" xfId="0" applyNumberFormat="1" applyFont="1" applyBorder="1" applyAlignment="1">
      <alignment horizontal="center"/>
    </xf>
    <xf numFmtId="0" fontId="10" fillId="0" borderId="3" xfId="0" applyFont="1" applyBorder="1" applyAlignment="1">
      <alignment horizontal="center"/>
    </xf>
    <xf numFmtId="164" fontId="27" fillId="0" borderId="8" xfId="1" applyNumberFormat="1" applyFont="1" applyFill="1" applyBorder="1" applyAlignment="1">
      <alignment horizontal="right"/>
    </xf>
    <xf numFmtId="3" fontId="27" fillId="0" borderId="6" xfId="0" applyNumberFormat="1" applyFont="1" applyBorder="1" applyAlignment="1">
      <alignment horizontal="right"/>
    </xf>
    <xf numFmtId="0" fontId="27" fillId="0" borderId="6" xfId="0" applyFont="1" applyBorder="1" applyAlignment="1">
      <alignment horizontal="right"/>
    </xf>
    <xf numFmtId="3" fontId="27" fillId="0" borderId="0" xfId="0" applyNumberFormat="1" applyFont="1" applyFill="1" applyBorder="1" applyAlignment="1">
      <alignment horizontal="center"/>
    </xf>
    <xf numFmtId="0" fontId="27" fillId="0" borderId="9" xfId="0" applyFont="1" applyFill="1" applyBorder="1"/>
    <xf numFmtId="0" fontId="27" fillId="0" borderId="13" xfId="0" applyFont="1" applyBorder="1"/>
    <xf numFmtId="0" fontId="44" fillId="0" borderId="5" xfId="0" applyFont="1" applyFill="1" applyBorder="1" applyAlignment="1">
      <alignment horizontal="left"/>
    </xf>
    <xf numFmtId="3" fontId="27" fillId="0" borderId="8" xfId="0" applyNumberFormat="1" applyFont="1" applyBorder="1" applyAlignment="1">
      <alignment horizontal="center"/>
    </xf>
    <xf numFmtId="3" fontId="29" fillId="0" borderId="0" xfId="0" applyNumberFormat="1" applyFont="1"/>
    <xf numFmtId="0" fontId="27" fillId="0" borderId="0" xfId="0" applyFont="1" applyFill="1" applyBorder="1" applyAlignment="1">
      <alignment horizontal="left"/>
    </xf>
    <xf numFmtId="3" fontId="10" fillId="0" borderId="3" xfId="0" applyNumberFormat="1" applyFont="1" applyFill="1" applyBorder="1" applyAlignment="1">
      <alignment horizontal="center"/>
    </xf>
    <xf numFmtId="0" fontId="22" fillId="0" borderId="0" xfId="0" applyFont="1" applyFill="1" applyBorder="1" applyAlignment="1">
      <alignment vertical="top"/>
    </xf>
    <xf numFmtId="0" fontId="34" fillId="0" borderId="0" xfId="0" applyFont="1" applyBorder="1" applyAlignment="1">
      <alignment horizontal="center" vertical="top"/>
    </xf>
    <xf numFmtId="0" fontId="22" fillId="0" borderId="7" xfId="0" applyNumberFormat="1" applyFont="1" applyFill="1" applyBorder="1" applyAlignment="1">
      <alignment horizontal="left" vertical="top"/>
    </xf>
    <xf numFmtId="3" fontId="27" fillId="0" borderId="6" xfId="0" applyNumberFormat="1" applyFont="1" applyBorder="1" applyAlignment="1">
      <alignment horizontal="center" vertical="top"/>
    </xf>
    <xf numFmtId="3" fontId="27" fillId="0" borderId="0" xfId="0" applyNumberFormat="1" applyFont="1" applyBorder="1" applyAlignment="1">
      <alignment horizontal="center" vertical="top"/>
    </xf>
    <xf numFmtId="0" fontId="22" fillId="0" borderId="0" xfId="0" applyNumberFormat="1" applyFont="1" applyFill="1" applyBorder="1" applyAlignment="1">
      <alignment vertical="top"/>
    </xf>
    <xf numFmtId="3" fontId="34" fillId="0" borderId="0" xfId="0" applyNumberFormat="1" applyFont="1" applyBorder="1" applyAlignment="1">
      <alignment horizontal="center" vertical="top"/>
    </xf>
    <xf numFmtId="0" fontId="49" fillId="0" borderId="0" xfId="0" applyFont="1" applyFill="1" applyAlignment="1">
      <alignment horizontal="left"/>
    </xf>
    <xf numFmtId="0" fontId="47" fillId="0" borderId="0" xfId="0" applyFont="1" applyFill="1" applyAlignment="1">
      <alignment horizontal="center"/>
    </xf>
    <xf numFmtId="3" fontId="22" fillId="0" borderId="7" xfId="0" applyNumberFormat="1" applyFont="1" applyFill="1" applyBorder="1" applyAlignment="1">
      <alignment horizontal="center" vertical="top"/>
    </xf>
    <xf numFmtId="3" fontId="6" fillId="0" borderId="0" xfId="0" applyNumberFormat="1" applyFont="1" applyFill="1" applyBorder="1" applyAlignment="1">
      <alignment horizontal="right"/>
    </xf>
    <xf numFmtId="0" fontId="7" fillId="0" borderId="0" xfId="0" applyFont="1" applyFill="1" applyBorder="1"/>
    <xf numFmtId="0" fontId="30" fillId="2" borderId="0" xfId="0" applyFont="1" applyFill="1" applyBorder="1" applyAlignment="1">
      <alignment horizontal="center"/>
    </xf>
    <xf numFmtId="164" fontId="27" fillId="0" borderId="6" xfId="0" applyNumberFormat="1" applyFont="1" applyBorder="1" applyAlignment="1">
      <alignment horizontal="center"/>
    </xf>
    <xf numFmtId="164" fontId="27" fillId="0" borderId="0" xfId="0" applyNumberFormat="1" applyFont="1" applyBorder="1" applyAlignment="1">
      <alignment horizontal="center"/>
    </xf>
    <xf numFmtId="0" fontId="22" fillId="0" borderId="9" xfId="0" applyNumberFormat="1" applyFont="1" applyBorder="1" applyAlignment="1">
      <alignment horizontal="left"/>
    </xf>
    <xf numFmtId="0" fontId="34" fillId="0" borderId="9" xfId="0" applyNumberFormat="1" applyFont="1" applyBorder="1" applyAlignment="1">
      <alignment horizontal="center"/>
    </xf>
    <xf numFmtId="0" fontId="22" fillId="0" borderId="10" xfId="0" applyNumberFormat="1" applyFont="1" applyBorder="1" applyAlignment="1">
      <alignment horizontal="left"/>
    </xf>
    <xf numFmtId="168" fontId="27" fillId="0" borderId="9" xfId="5" applyNumberFormat="1" applyFont="1" applyBorder="1" applyAlignment="1">
      <alignment horizontal="center"/>
    </xf>
    <xf numFmtId="164" fontId="27" fillId="0" borderId="9" xfId="0" applyNumberFormat="1" applyFont="1" applyBorder="1" applyAlignment="1">
      <alignment horizontal="center"/>
    </xf>
    <xf numFmtId="164" fontId="33" fillId="0" borderId="0" xfId="1" applyNumberFormat="1" applyFont="1" applyBorder="1"/>
    <xf numFmtId="0" fontId="27" fillId="0" borderId="6" xfId="0" applyNumberFormat="1" applyFont="1" applyFill="1" applyBorder="1" applyAlignment="1">
      <alignment horizontal="center"/>
    </xf>
    <xf numFmtId="0" fontId="27" fillId="0" borderId="0" xfId="0" applyNumberFormat="1" applyFont="1" applyFill="1" applyBorder="1" applyAlignment="1">
      <alignment horizontal="center"/>
    </xf>
    <xf numFmtId="0" fontId="27" fillId="0" borderId="0" xfId="0" applyNumberFormat="1" applyFont="1" applyFill="1" applyBorder="1" applyAlignment="1">
      <alignment horizontal="left"/>
    </xf>
    <xf numFmtId="0" fontId="31" fillId="0" borderId="0" xfId="0" applyNumberFormat="1" applyFont="1" applyFill="1" applyBorder="1" applyAlignment="1">
      <alignment horizontal="center"/>
    </xf>
    <xf numFmtId="0" fontId="27" fillId="0" borderId="7" xfId="0" applyNumberFormat="1" applyFont="1" applyFill="1" applyBorder="1" applyAlignment="1">
      <alignment horizontal="center"/>
    </xf>
    <xf numFmtId="164" fontId="6" fillId="2" borderId="0" xfId="1" applyNumberFormat="1" applyFont="1" applyFill="1" applyAlignment="1"/>
    <xf numFmtId="164" fontId="30" fillId="0" borderId="0" xfId="1" applyNumberFormat="1" applyFont="1" applyBorder="1" applyAlignment="1">
      <alignment horizontal="center"/>
    </xf>
    <xf numFmtId="0" fontId="5" fillId="0" borderId="0" xfId="0" applyFont="1"/>
    <xf numFmtId="0" fontId="47" fillId="0" borderId="0" xfId="0" applyFont="1" applyFill="1" applyAlignment="1">
      <alignment horizontal="left"/>
    </xf>
    <xf numFmtId="167" fontId="47" fillId="8" borderId="0" xfId="0" applyNumberFormat="1" applyFont="1" applyFill="1"/>
    <xf numFmtId="0" fontId="42" fillId="0" borderId="0" xfId="0" applyFont="1" applyFill="1" applyAlignment="1">
      <alignment horizontal="left"/>
    </xf>
    <xf numFmtId="9" fontId="27" fillId="0" borderId="0" xfId="5" applyFont="1" applyBorder="1" applyAlignment="1">
      <alignment horizontal="center"/>
    </xf>
    <xf numFmtId="10" fontId="27" fillId="0" borderId="0" xfId="5" applyNumberFormat="1" applyFont="1" applyBorder="1" applyAlignment="1">
      <alignment horizontal="center"/>
    </xf>
    <xf numFmtId="164" fontId="27" fillId="0" borderId="8" xfId="0" applyNumberFormat="1" applyFont="1" applyFill="1" applyBorder="1" applyAlignment="1">
      <alignment horizontal="center"/>
    </xf>
    <xf numFmtId="164" fontId="27" fillId="5" borderId="6" xfId="0" applyNumberFormat="1" applyFont="1" applyFill="1" applyBorder="1" applyAlignment="1">
      <alignment horizontal="center"/>
    </xf>
    <xf numFmtId="164" fontId="27" fillId="5" borderId="8" xfId="0" applyNumberFormat="1" applyFont="1" applyFill="1" applyBorder="1" applyAlignment="1">
      <alignment horizontal="center"/>
    </xf>
    <xf numFmtId="164" fontId="22" fillId="0" borderId="0" xfId="1" applyNumberFormat="1" applyFont="1" applyBorder="1"/>
    <xf numFmtId="0" fontId="44" fillId="0" borderId="0" xfId="0" applyNumberFormat="1" applyFont="1" applyFill="1" applyBorder="1" applyAlignment="1">
      <alignment horizontal="left"/>
    </xf>
    <xf numFmtId="0" fontId="27" fillId="0" borderId="14" xfId="0" applyFont="1" applyBorder="1"/>
    <xf numFmtId="0" fontId="26" fillId="0" borderId="14" xfId="0" applyFont="1" applyBorder="1"/>
    <xf numFmtId="167" fontId="27" fillId="0" borderId="6" xfId="2" applyNumberFormat="1" applyFont="1" applyBorder="1"/>
    <xf numFmtId="167" fontId="27" fillId="0" borderId="9" xfId="2" applyNumberFormat="1" applyFont="1" applyBorder="1"/>
    <xf numFmtId="164" fontId="27" fillId="0" borderId="0" xfId="1" applyNumberFormat="1" applyFont="1" applyAlignment="1">
      <alignment horizontal="center"/>
    </xf>
    <xf numFmtId="0" fontId="22" fillId="0" borderId="0" xfId="0" applyFont="1" applyFill="1" applyAlignment="1">
      <alignment vertical="center" wrapText="1"/>
    </xf>
    <xf numFmtId="0" fontId="39" fillId="0" borderId="0" xfId="0" applyFont="1" applyFill="1" applyBorder="1" applyAlignment="1">
      <alignment horizontal="center"/>
    </xf>
    <xf numFmtId="0" fontId="25" fillId="6" borderId="8" xfId="0" applyFont="1" applyFill="1" applyBorder="1" applyAlignment="1">
      <alignment horizontal="left"/>
    </xf>
    <xf numFmtId="0" fontId="47" fillId="0" borderId="0" xfId="0" applyFont="1" applyFill="1" applyAlignment="1">
      <alignment wrapText="1"/>
    </xf>
    <xf numFmtId="0" fontId="47" fillId="0" borderId="0" xfId="0" applyFont="1" applyAlignment="1">
      <alignment horizontal="center" vertical="top"/>
    </xf>
    <xf numFmtId="1" fontId="22" fillId="0" borderId="0" xfId="0" applyNumberFormat="1" applyFont="1" applyFill="1" applyBorder="1" applyAlignment="1">
      <alignment horizontal="center"/>
    </xf>
    <xf numFmtId="0" fontId="22" fillId="0" borderId="0" xfId="0" applyFont="1" applyFill="1" applyBorder="1" applyAlignment="1">
      <alignment horizontal="center" vertical="top"/>
    </xf>
    <xf numFmtId="0" fontId="22" fillId="0" borderId="9" xfId="0" applyFont="1" applyFill="1" applyBorder="1" applyAlignment="1">
      <alignment horizontal="center"/>
    </xf>
    <xf numFmtId="0" fontId="22" fillId="0" borderId="9" xfId="0" applyFont="1" applyBorder="1" applyAlignment="1">
      <alignment horizontal="center"/>
    </xf>
    <xf numFmtId="0" fontId="27" fillId="0" borderId="0" xfId="0" applyFont="1" applyFill="1" applyBorder="1"/>
    <xf numFmtId="0" fontId="4" fillId="0" borderId="0" xfId="0" applyFont="1"/>
    <xf numFmtId="164" fontId="53" fillId="0" borderId="0" xfId="0" applyNumberFormat="1" applyFont="1" applyFill="1" applyBorder="1"/>
    <xf numFmtId="164" fontId="53" fillId="0" borderId="0" xfId="1" applyNumberFormat="1" applyFont="1" applyFill="1" applyBorder="1"/>
    <xf numFmtId="164" fontId="4" fillId="0" borderId="0" xfId="0" applyNumberFormat="1" applyFont="1" applyFill="1" applyBorder="1"/>
    <xf numFmtId="0" fontId="4" fillId="0" borderId="0" xfId="0" applyFont="1" applyFill="1" applyBorder="1"/>
    <xf numFmtId="3" fontId="8" fillId="0" borderId="0" xfId="0" applyNumberFormat="1" applyFont="1" applyBorder="1" applyAlignment="1"/>
    <xf numFmtId="3" fontId="8" fillId="0" borderId="0" xfId="0" applyNumberFormat="1" applyFont="1" applyFill="1" applyBorder="1" applyAlignment="1"/>
    <xf numFmtId="3" fontId="8" fillId="0" borderId="3" xfId="0" applyNumberFormat="1" applyFont="1" applyFill="1" applyBorder="1" applyAlignment="1"/>
    <xf numFmtId="3" fontId="8" fillId="0" borderId="0" xfId="0" applyNumberFormat="1" applyFont="1" applyFill="1" applyAlignment="1"/>
    <xf numFmtId="3" fontId="8" fillId="0" borderId="0" xfId="0" applyNumberFormat="1" applyFont="1" applyFill="1" applyAlignment="1">
      <alignment horizontal="right"/>
    </xf>
    <xf numFmtId="0" fontId="4" fillId="0" borderId="0" xfId="0" applyFont="1" applyFill="1"/>
    <xf numFmtId="0" fontId="4" fillId="0" borderId="0" xfId="0" applyFont="1" applyFill="1" applyAlignment="1">
      <alignment wrapText="1"/>
    </xf>
    <xf numFmtId="3" fontId="8" fillId="0" borderId="3" xfId="0" applyNumberFormat="1" applyFont="1" applyFill="1" applyBorder="1" applyAlignment="1">
      <alignment horizontal="left"/>
    </xf>
    <xf numFmtId="3" fontId="8" fillId="0" borderId="0" xfId="0" applyNumberFormat="1" applyFont="1" applyFill="1" applyAlignment="1">
      <alignment horizontal="left"/>
    </xf>
    <xf numFmtId="0" fontId="8" fillId="0" borderId="1" xfId="0" applyFont="1" applyFill="1" applyBorder="1" applyAlignment="1">
      <alignment horizontal="left"/>
    </xf>
    <xf numFmtId="0" fontId="22" fillId="0" borderId="6" xfId="0" applyFont="1" applyFill="1" applyBorder="1" applyAlignment="1">
      <alignment horizontal="center" vertical="top"/>
    </xf>
    <xf numFmtId="0" fontId="22" fillId="0" borderId="6" xfId="0" applyNumberFormat="1" applyFont="1" applyFill="1" applyBorder="1" applyAlignment="1">
      <alignment horizontal="center" vertical="top"/>
    </xf>
    <xf numFmtId="0" fontId="4" fillId="0" borderId="0" xfId="0" applyFont="1" applyFill="1" applyAlignment="1">
      <alignment horizontal="center"/>
    </xf>
    <xf numFmtId="164" fontId="4" fillId="0" borderId="0" xfId="1" applyNumberFormat="1" applyFont="1" applyFill="1"/>
    <xf numFmtId="164" fontId="4" fillId="0" borderId="6" xfId="0" applyNumberFormat="1" applyFont="1" applyFill="1" applyBorder="1"/>
    <xf numFmtId="164" fontId="4" fillId="0" borderId="7" xfId="1" applyNumberFormat="1" applyFont="1" applyFill="1" applyBorder="1"/>
    <xf numFmtId="0" fontId="54" fillId="0" borderId="0" xfId="0" applyFont="1" applyFill="1" applyBorder="1"/>
    <xf numFmtId="3" fontId="55" fillId="0" borderId="0" xfId="0" applyNumberFormat="1" applyFont="1" applyFill="1" applyBorder="1" applyAlignment="1">
      <alignment horizontal="right"/>
    </xf>
    <xf numFmtId="0" fontId="6" fillId="0" borderId="2" xfId="0" applyFont="1" applyFill="1" applyBorder="1"/>
    <xf numFmtId="0" fontId="6" fillId="0" borderId="2" xfId="0" applyFont="1" applyFill="1" applyBorder="1" applyAlignment="1">
      <alignment horizontal="center"/>
    </xf>
    <xf numFmtId="3" fontId="6" fillId="0" borderId="2" xfId="0" applyNumberFormat="1" applyFont="1" applyFill="1" applyBorder="1"/>
    <xf numFmtId="0" fontId="6" fillId="0" borderId="2" xfId="0" applyFont="1" applyFill="1" applyBorder="1" applyAlignment="1">
      <alignment horizontal="right"/>
    </xf>
    <xf numFmtId="3" fontId="6" fillId="0" borderId="2" xfId="0" applyNumberFormat="1" applyFont="1" applyFill="1" applyBorder="1" applyAlignment="1">
      <alignment horizontal="right"/>
    </xf>
    <xf numFmtId="0" fontId="56" fillId="0" borderId="0" xfId="0" applyFont="1" applyFill="1" applyBorder="1"/>
    <xf numFmtId="0" fontId="4" fillId="0" borderId="6" xfId="0" applyFont="1" applyFill="1" applyBorder="1"/>
    <xf numFmtId="0" fontId="8" fillId="0" borderId="0" xfId="0" applyFont="1" applyFill="1" applyBorder="1" applyAlignment="1">
      <alignment wrapText="1"/>
    </xf>
    <xf numFmtId="0" fontId="5" fillId="0" borderId="14" xfId="0" applyFont="1" applyFill="1" applyBorder="1" applyAlignment="1">
      <alignment horizontal="center"/>
    </xf>
    <xf numFmtId="164" fontId="4" fillId="0" borderId="7" xfId="1" applyNumberFormat="1" applyFont="1" applyFill="1" applyBorder="1" applyAlignment="1">
      <alignment horizontal="center"/>
    </xf>
    <xf numFmtId="164" fontId="4" fillId="0" borderId="6" xfId="1" applyNumberFormat="1" applyFont="1" applyFill="1" applyBorder="1"/>
    <xf numFmtId="164" fontId="4" fillId="0" borderId="0" xfId="1" applyNumberFormat="1" applyFont="1" applyFill="1" applyBorder="1"/>
    <xf numFmtId="164" fontId="4" fillId="0" borderId="8" xfId="1" applyNumberFormat="1" applyFont="1" applyFill="1" applyBorder="1"/>
    <xf numFmtId="164" fontId="4" fillId="0" borderId="9" xfId="1" applyNumberFormat="1" applyFont="1" applyFill="1" applyBorder="1"/>
    <xf numFmtId="164" fontId="4" fillId="0" borderId="10" xfId="1" applyNumberFormat="1" applyFont="1" applyFill="1" applyBorder="1"/>
    <xf numFmtId="0" fontId="5" fillId="0" borderId="15" xfId="0" applyFont="1" applyFill="1" applyBorder="1" applyAlignment="1">
      <alignment horizontal="center"/>
    </xf>
    <xf numFmtId="0" fontId="5" fillId="0" borderId="6" xfId="0" applyFont="1" applyFill="1" applyBorder="1" applyAlignment="1">
      <alignment horizontal="center"/>
    </xf>
    <xf numFmtId="0" fontId="5" fillId="0" borderId="0" xfId="0" applyFont="1" applyFill="1" applyBorder="1" applyAlignment="1">
      <alignment horizontal="center"/>
    </xf>
    <xf numFmtId="0" fontId="5" fillId="0" borderId="7" xfId="0" applyFont="1" applyFill="1" applyBorder="1" applyAlignment="1">
      <alignment horizontal="center"/>
    </xf>
    <xf numFmtId="164" fontId="4" fillId="0" borderId="8" xfId="0" applyNumberFormat="1" applyFont="1" applyFill="1" applyBorder="1"/>
    <xf numFmtId="164" fontId="4" fillId="0" borderId="9" xfId="0" applyNumberFormat="1" applyFont="1" applyFill="1" applyBorder="1"/>
    <xf numFmtId="0" fontId="56" fillId="0" borderId="25" xfId="0" applyFont="1" applyFill="1" applyBorder="1"/>
    <xf numFmtId="0" fontId="56" fillId="0" borderId="22" xfId="0" applyFont="1" applyFill="1" applyBorder="1" applyAlignment="1">
      <alignment horizontal="center"/>
    </xf>
    <xf numFmtId="0" fontId="4" fillId="0" borderId="25" xfId="0" applyFont="1" applyFill="1" applyBorder="1"/>
    <xf numFmtId="3" fontId="4" fillId="0" borderId="22" xfId="0" applyNumberFormat="1" applyFont="1" applyFill="1" applyBorder="1" applyAlignment="1">
      <alignment horizontal="center"/>
    </xf>
    <xf numFmtId="0" fontId="4" fillId="0" borderId="22" xfId="0" applyFont="1" applyFill="1" applyBorder="1" applyAlignment="1">
      <alignment horizontal="center"/>
    </xf>
    <xf numFmtId="0" fontId="4" fillId="0" borderId="22" xfId="0" applyFont="1" applyFill="1" applyBorder="1"/>
    <xf numFmtId="0" fontId="58" fillId="9" borderId="23" xfId="0" applyFont="1" applyFill="1" applyBorder="1" applyAlignment="1">
      <alignment horizontal="left"/>
    </xf>
    <xf numFmtId="0" fontId="4" fillId="9" borderId="1" xfId="0" applyFont="1" applyFill="1" applyBorder="1"/>
    <xf numFmtId="0" fontId="4" fillId="9" borderId="24" xfId="0" applyFont="1" applyFill="1" applyBorder="1"/>
    <xf numFmtId="0" fontId="29" fillId="0" borderId="0" xfId="0" applyFont="1" applyFill="1" applyBorder="1" applyAlignment="1">
      <alignment wrapText="1"/>
    </xf>
    <xf numFmtId="0" fontId="60" fillId="0" borderId="0" xfId="0" applyFont="1"/>
    <xf numFmtId="0" fontId="62" fillId="0" borderId="0" xfId="0" applyFont="1"/>
    <xf numFmtId="49" fontId="63" fillId="0" borderId="0" xfId="0" applyNumberFormat="1" applyFont="1" applyAlignment="1">
      <alignment horizontal="left" indent="1"/>
    </xf>
    <xf numFmtId="2" fontId="63" fillId="0" borderId="0" xfId="0" applyNumberFormat="1" applyFont="1" applyFill="1"/>
    <xf numFmtId="49" fontId="60" fillId="0" borderId="0" xfId="0" applyNumberFormat="1" applyFont="1" applyAlignment="1">
      <alignment horizontal="left" indent="1"/>
    </xf>
    <xf numFmtId="2" fontId="60" fillId="0" borderId="0" xfId="0" applyNumberFormat="1" applyFont="1"/>
    <xf numFmtId="49" fontId="64" fillId="0" borderId="0" xfId="0" applyNumberFormat="1" applyFont="1" applyFill="1" applyAlignment="1">
      <alignment horizontal="left" indent="1"/>
    </xf>
    <xf numFmtId="0" fontId="65" fillId="0" borderId="0" xfId="0" applyFont="1" applyFill="1"/>
    <xf numFmtId="2" fontId="65" fillId="0" borderId="0" xfId="0" applyNumberFormat="1" applyFont="1" applyFill="1"/>
    <xf numFmtId="0" fontId="60" fillId="0" borderId="0" xfId="0" applyFont="1" applyAlignment="1">
      <alignment horizontal="right"/>
    </xf>
    <xf numFmtId="3" fontId="8" fillId="0" borderId="0" xfId="0" applyNumberFormat="1" applyFont="1" applyAlignment="1"/>
    <xf numFmtId="3" fontId="4"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3" fontId="4" fillId="0" borderId="8" xfId="0" applyNumberFormat="1" applyFont="1" applyBorder="1" applyAlignment="1">
      <alignment horizontal="right"/>
    </xf>
    <xf numFmtId="3" fontId="4" fillId="0" borderId="9" xfId="0" applyNumberFormat="1" applyFont="1" applyBorder="1" applyAlignment="1">
      <alignment horizontal="center"/>
    </xf>
    <xf numFmtId="164" fontId="4" fillId="0" borderId="6" xfId="1" applyNumberFormat="1" applyFont="1" applyBorder="1"/>
    <xf numFmtId="0" fontId="4" fillId="0" borderId="16" xfId="0" applyFont="1" applyBorder="1"/>
    <xf numFmtId="0" fontId="5" fillId="0" borderId="14" xfId="0" applyFont="1" applyBorder="1" applyAlignment="1">
      <alignment horizontal="center"/>
    </xf>
    <xf numFmtId="0" fontId="5" fillId="0" borderId="15" xfId="0" applyFont="1" applyBorder="1" applyAlignment="1">
      <alignment horizontal="center"/>
    </xf>
    <xf numFmtId="0" fontId="4" fillId="0" borderId="15" xfId="0" applyFont="1" applyBorder="1"/>
    <xf numFmtId="0" fontId="4" fillId="0" borderId="0" xfId="0" applyFont="1" applyBorder="1" applyAlignment="1">
      <alignment horizontal="center"/>
    </xf>
    <xf numFmtId="0" fontId="4" fillId="2" borderId="6" xfId="0" applyFont="1" applyFill="1" applyBorder="1" applyAlignment="1">
      <alignment horizontal="center"/>
    </xf>
    <xf numFmtId="0" fontId="4" fillId="0" borderId="7" xfId="0" applyFont="1" applyBorder="1" applyAlignment="1">
      <alignment horizontal="center"/>
    </xf>
    <xf numFmtId="0" fontId="5" fillId="0" borderId="6" xfId="0" applyFont="1" applyBorder="1" applyAlignment="1">
      <alignment horizontal="center"/>
    </xf>
    <xf numFmtId="0" fontId="5" fillId="0" borderId="0" xfId="0" applyFont="1" applyBorder="1" applyAlignment="1">
      <alignment horizontal="center"/>
    </xf>
    <xf numFmtId="0" fontId="5" fillId="0" borderId="7" xfId="0" applyFont="1" applyBorder="1" applyAlignment="1">
      <alignment horizontal="center"/>
    </xf>
    <xf numFmtId="0" fontId="4" fillId="0" borderId="7" xfId="0" applyFont="1" applyBorder="1"/>
    <xf numFmtId="0" fontId="4" fillId="0" borderId="6" xfId="0" applyFont="1" applyBorder="1"/>
    <xf numFmtId="164" fontId="4" fillId="0" borderId="7" xfId="1" applyNumberFormat="1" applyFont="1" applyBorder="1" applyAlignment="1">
      <alignment horizontal="center"/>
    </xf>
    <xf numFmtId="0" fontId="4" fillId="0" borderId="6" xfId="0" applyFont="1" applyBorder="1" applyAlignment="1">
      <alignment horizontal="center"/>
    </xf>
    <xf numFmtId="0" fontId="4" fillId="0" borderId="0" xfId="0" applyFont="1" applyBorder="1"/>
    <xf numFmtId="164" fontId="4" fillId="0" borderId="7" xfId="1" applyNumberFormat="1" applyFont="1" applyBorder="1"/>
    <xf numFmtId="0" fontId="4" fillId="0" borderId="6" xfId="0" applyFont="1" applyFill="1" applyBorder="1" applyAlignment="1">
      <alignment horizontal="right"/>
    </xf>
    <xf numFmtId="176" fontId="4" fillId="0" borderId="6" xfId="0" applyNumberFormat="1" applyFont="1" applyBorder="1"/>
    <xf numFmtId="166" fontId="4" fillId="0" borderId="0" xfId="0" applyNumberFormat="1" applyFont="1" applyBorder="1"/>
    <xf numFmtId="164" fontId="4" fillId="2" borderId="6" xfId="1" applyNumberFormat="1" applyFont="1" applyFill="1" applyBorder="1"/>
    <xf numFmtId="164" fontId="4" fillId="0" borderId="0" xfId="1" applyNumberFormat="1" applyFont="1" applyBorder="1"/>
    <xf numFmtId="0" fontId="4" fillId="0" borderId="7" xfId="0" applyFont="1" applyFill="1" applyBorder="1"/>
    <xf numFmtId="0" fontId="4" fillId="0" borderId="8" xfId="0" applyFont="1" applyBorder="1"/>
    <xf numFmtId="0" fontId="4" fillId="0" borderId="9" xfId="0" applyFont="1" applyBorder="1" applyAlignment="1">
      <alignment horizontal="center"/>
    </xf>
    <xf numFmtId="164" fontId="4" fillId="0" borderId="8" xfId="1" applyNumberFormat="1" applyFont="1" applyBorder="1"/>
    <xf numFmtId="164" fontId="4" fillId="0" borderId="9" xfId="1" applyNumberFormat="1" applyFont="1" applyBorder="1"/>
    <xf numFmtId="164" fontId="4" fillId="0" borderId="10" xfId="1" applyNumberFormat="1" applyFont="1" applyBorder="1"/>
    <xf numFmtId="0" fontId="4" fillId="0" borderId="10" xfId="0" applyFont="1" applyBorder="1"/>
    <xf numFmtId="0" fontId="5" fillId="0" borderId="17" xfId="0" applyFont="1" applyBorder="1" applyAlignment="1">
      <alignment horizontal="center"/>
    </xf>
    <xf numFmtId="164" fontId="5" fillId="0" borderId="15" xfId="1" applyNumberFormat="1" applyFont="1" applyBorder="1" applyAlignment="1">
      <alignment horizontal="center"/>
    </xf>
    <xf numFmtId="0" fontId="5" fillId="0" borderId="17" xfId="0" applyFont="1" applyFill="1" applyBorder="1" applyAlignment="1">
      <alignment horizontal="center"/>
    </xf>
    <xf numFmtId="0" fontId="4" fillId="0" borderId="18" xfId="0" applyFont="1" applyBorder="1" applyAlignment="1">
      <alignment horizontal="center"/>
    </xf>
    <xf numFmtId="164" fontId="4" fillId="0" borderId="0" xfId="0" applyNumberFormat="1" applyFont="1" applyBorder="1"/>
    <xf numFmtId="164" fontId="4" fillId="0" borderId="6" xfId="0" applyNumberFormat="1" applyFont="1" applyBorder="1"/>
    <xf numFmtId="167" fontId="4" fillId="0" borderId="18" xfId="2" applyNumberFormat="1" applyFont="1" applyBorder="1"/>
    <xf numFmtId="167" fontId="4" fillId="0" borderId="7" xfId="0" applyNumberFormat="1" applyFont="1" applyBorder="1"/>
    <xf numFmtId="167" fontId="4" fillId="0" borderId="0" xfId="0" applyNumberFormat="1" applyFont="1" applyBorder="1"/>
    <xf numFmtId="164" fontId="4" fillId="0" borderId="0" xfId="0" applyNumberFormat="1" applyFont="1"/>
    <xf numFmtId="167" fontId="4" fillId="0" borderId="0" xfId="0" applyNumberFormat="1" applyFont="1"/>
    <xf numFmtId="167" fontId="4" fillId="0" borderId="18" xfId="2" applyNumberFormat="1" applyFont="1" applyFill="1" applyBorder="1"/>
    <xf numFmtId="164" fontId="5" fillId="0" borderId="0" xfId="0" applyNumberFormat="1" applyFont="1" applyBorder="1"/>
    <xf numFmtId="164" fontId="5" fillId="0" borderId="7" xfId="1" applyNumberFormat="1" applyFont="1" applyBorder="1"/>
    <xf numFmtId="164" fontId="5" fillId="0" borderId="0" xfId="0" applyNumberFormat="1" applyFont="1" applyFill="1" applyBorder="1"/>
    <xf numFmtId="164" fontId="5" fillId="0" borderId="7" xfId="1" applyNumberFormat="1" applyFont="1" applyFill="1" applyBorder="1"/>
    <xf numFmtId="164" fontId="5" fillId="0" borderId="0" xfId="1" applyNumberFormat="1" applyFont="1" applyFill="1" applyBorder="1"/>
    <xf numFmtId="164" fontId="5" fillId="0" borderId="8" xfId="0" applyNumberFormat="1" applyFont="1" applyBorder="1"/>
    <xf numFmtId="164" fontId="5" fillId="0" borderId="19" xfId="0" applyNumberFormat="1" applyFont="1" applyBorder="1"/>
    <xf numFmtId="164" fontId="5" fillId="0" borderId="9" xfId="0" applyNumberFormat="1" applyFont="1" applyBorder="1"/>
    <xf numFmtId="164" fontId="5" fillId="0" borderId="10" xfId="1" applyNumberFormat="1" applyFont="1" applyBorder="1"/>
    <xf numFmtId="164" fontId="5" fillId="0" borderId="9" xfId="0" applyNumberFormat="1" applyFont="1" applyFill="1" applyBorder="1"/>
    <xf numFmtId="164" fontId="5" fillId="0" borderId="10" xfId="1" applyNumberFormat="1" applyFont="1" applyFill="1" applyBorder="1"/>
    <xf numFmtId="164" fontId="5" fillId="0" borderId="9" xfId="1" applyNumberFormat="1" applyFont="1" applyFill="1" applyBorder="1"/>
    <xf numFmtId="167" fontId="4" fillId="0" borderId="19" xfId="2" applyNumberFormat="1" applyFont="1" applyBorder="1"/>
    <xf numFmtId="167" fontId="4" fillId="0" borderId="9" xfId="0" applyNumberFormat="1" applyFont="1" applyBorder="1"/>
    <xf numFmtId="176" fontId="4" fillId="0" borderId="6" xfId="0" applyNumberFormat="1" applyFont="1" applyFill="1" applyBorder="1"/>
    <xf numFmtId="176" fontId="4" fillId="0" borderId="6" xfId="0" applyNumberFormat="1" applyFont="1" applyFill="1" applyBorder="1" applyAlignment="1">
      <alignment horizontal="right"/>
    </xf>
    <xf numFmtId="43" fontId="4" fillId="0" borderId="0" xfId="1" applyFont="1" applyBorder="1"/>
    <xf numFmtId="167" fontId="4" fillId="0" borderId="0" xfId="0" applyNumberFormat="1" applyFont="1" applyFill="1"/>
    <xf numFmtId="173" fontId="4" fillId="0" borderId="6" xfId="0" applyNumberFormat="1" applyFont="1" applyBorder="1"/>
    <xf numFmtId="3" fontId="8" fillId="2" borderId="0" xfId="0" applyNumberFormat="1" applyFont="1" applyFill="1" applyAlignment="1"/>
    <xf numFmtId="3" fontId="8" fillId="0" borderId="1" xfId="0" applyNumberFormat="1" applyFont="1" applyFill="1" applyBorder="1" applyAlignment="1"/>
    <xf numFmtId="43" fontId="6" fillId="0" borderId="0" xfId="1" applyFont="1" applyAlignment="1"/>
    <xf numFmtId="43" fontId="6" fillId="0" borderId="0" xfId="1" applyFont="1" applyFill="1"/>
    <xf numFmtId="3" fontId="6" fillId="0" borderId="0" xfId="0" applyNumberFormat="1" applyFont="1" applyFill="1"/>
    <xf numFmtId="164" fontId="8" fillId="0" borderId="0" xfId="0" applyNumberFormat="1" applyFont="1" applyFill="1"/>
    <xf numFmtId="3" fontId="8" fillId="0" borderId="0" xfId="0" applyNumberFormat="1" applyFont="1" applyFill="1"/>
    <xf numFmtId="0" fontId="5" fillId="0" borderId="0" xfId="0" applyFont="1" applyFill="1"/>
    <xf numFmtId="0" fontId="30" fillId="0" borderId="0" xfId="0" applyFont="1" applyFill="1" applyBorder="1" applyAlignment="1">
      <alignment horizontal="center"/>
    </xf>
    <xf numFmtId="3" fontId="4" fillId="0" borderId="3" xfId="0" applyNumberFormat="1" applyFont="1" applyFill="1" applyBorder="1" applyAlignment="1">
      <alignment horizontal="center"/>
    </xf>
    <xf numFmtId="177" fontId="13" fillId="0" borderId="0" xfId="0" applyNumberFormat="1" applyFont="1" applyFill="1"/>
    <xf numFmtId="0" fontId="5" fillId="0" borderId="0" xfId="0" applyFont="1" applyFill="1" applyAlignment="1">
      <alignment horizontal="center"/>
    </xf>
    <xf numFmtId="0" fontId="16" fillId="0" borderId="0" xfId="0" applyFont="1" applyAlignment="1">
      <alignment horizontal="center"/>
    </xf>
    <xf numFmtId="0" fontId="39" fillId="0" borderId="0" xfId="0" applyFont="1" applyAlignment="1">
      <alignment horizontal="center"/>
    </xf>
    <xf numFmtId="0" fontId="5" fillId="0" borderId="0" xfId="0" applyFont="1" applyAlignment="1">
      <alignment horizontal="center"/>
    </xf>
    <xf numFmtId="0" fontId="43" fillId="5" borderId="16" xfId="0" applyFont="1" applyFill="1" applyBorder="1" applyAlignment="1">
      <alignment horizontal="center"/>
    </xf>
    <xf numFmtId="0" fontId="43" fillId="5" borderId="14" xfId="0" applyFont="1" applyFill="1" applyBorder="1" applyAlignment="1">
      <alignment horizontal="center"/>
    </xf>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0" fontId="27" fillId="0" borderId="7" xfId="0" applyFont="1" applyFill="1" applyBorder="1" applyAlignment="1">
      <alignment horizontal="center" wrapText="1"/>
    </xf>
    <xf numFmtId="0" fontId="4" fillId="0" borderId="6" xfId="0" applyFont="1" applyFill="1" applyBorder="1" applyAlignment="1">
      <alignment horizontal="center"/>
    </xf>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4" xfId="0" applyFont="1" applyBorder="1" applyAlignment="1">
      <alignment horizontal="center"/>
    </xf>
    <xf numFmtId="0" fontId="5" fillId="0" borderId="16" xfId="0" applyFont="1" applyFill="1" applyBorder="1" applyAlignment="1">
      <alignment horizontal="center"/>
    </xf>
    <xf numFmtId="0" fontId="6" fillId="6" borderId="9" xfId="0" applyFont="1" applyFill="1" applyBorder="1" applyAlignment="1"/>
    <xf numFmtId="0" fontId="6" fillId="0" borderId="0" xfId="0" applyFont="1" applyFill="1" applyBorder="1" applyAlignment="1"/>
    <xf numFmtId="0" fontId="66" fillId="4" borderId="0" xfId="0" applyFont="1" applyFill="1" applyBorder="1"/>
    <xf numFmtId="0" fontId="66" fillId="4" borderId="0" xfId="0" applyFont="1" applyFill="1" applyBorder="1" applyAlignment="1">
      <alignment horizontal="center" wrapText="1"/>
    </xf>
    <xf numFmtId="0" fontId="66" fillId="4" borderId="0" xfId="0" applyFont="1" applyFill="1"/>
    <xf numFmtId="3" fontId="8" fillId="0" borderId="1" xfId="0" applyNumberFormat="1" applyFont="1" applyBorder="1" applyAlignment="1"/>
    <xf numFmtId="3" fontId="8" fillId="0" borderId="1" xfId="0" applyNumberFormat="1" applyFont="1" applyBorder="1" applyAlignment="1">
      <alignment horizontal="center"/>
    </xf>
    <xf numFmtId="3" fontId="8" fillId="0" borderId="0" xfId="0" applyNumberFormat="1" applyFont="1" applyFill="1" applyAlignment="1">
      <alignment horizontal="center"/>
    </xf>
    <xf numFmtId="3" fontId="8" fillId="0" borderId="3" xfId="0" applyNumberFormat="1" applyFont="1" applyBorder="1" applyAlignment="1"/>
    <xf numFmtId="3" fontId="8" fillId="2" borderId="3" xfId="0" applyNumberFormat="1" applyFont="1" applyFill="1" applyBorder="1" applyAlignment="1"/>
    <xf numFmtId="3" fontId="8" fillId="2" borderId="0" xfId="0" applyNumberFormat="1" applyFont="1" applyFill="1" applyBorder="1" applyAlignment="1"/>
    <xf numFmtId="174" fontId="8" fillId="0" borderId="0" xfId="5" applyNumberFormat="1" applyFont="1" applyAlignment="1"/>
    <xf numFmtId="168" fontId="8" fillId="0" borderId="0" xfId="0" applyNumberFormat="1" applyFont="1" applyAlignment="1">
      <alignment horizontal="center"/>
    </xf>
    <xf numFmtId="174" fontId="8" fillId="0" borderId="0" xfId="5" applyNumberFormat="1" applyFont="1" applyBorder="1" applyAlignment="1"/>
    <xf numFmtId="0" fontId="67" fillId="0" borderId="0" xfId="0" applyFont="1" applyAlignment="1">
      <alignment horizontal="left"/>
    </xf>
    <xf numFmtId="0" fontId="67" fillId="0" borderId="0" xfId="0" applyFont="1"/>
    <xf numFmtId="0" fontId="6" fillId="0" borderId="1" xfId="0" applyFont="1" applyFill="1" applyBorder="1"/>
    <xf numFmtId="0" fontId="6" fillId="0" borderId="1" xfId="0" applyFont="1" applyBorder="1" applyAlignment="1">
      <alignment horizontal="left"/>
    </xf>
    <xf numFmtId="0" fontId="6" fillId="0" borderId="1" xfId="0" applyFont="1" applyBorder="1" applyAlignment="1">
      <alignment horizontal="center"/>
    </xf>
    <xf numFmtId="0" fontId="6" fillId="0" borderId="0" xfId="0" applyFont="1" applyBorder="1"/>
    <xf numFmtId="0" fontId="66" fillId="4" borderId="0" xfId="0" applyFont="1" applyFill="1" applyAlignment="1"/>
    <xf numFmtId="3" fontId="8" fillId="0" borderId="1" xfId="0" applyNumberFormat="1" applyFont="1" applyFill="1" applyBorder="1" applyAlignment="1">
      <alignment horizontal="center"/>
    </xf>
    <xf numFmtId="3" fontId="8" fillId="0" borderId="2" xfId="0" applyNumberFormat="1" applyFont="1" applyBorder="1" applyAlignment="1">
      <alignment horizontal="center"/>
    </xf>
    <xf numFmtId="165" fontId="8" fillId="0" borderId="3" xfId="3" applyFont="1" applyFill="1" applyBorder="1" applyAlignment="1">
      <alignment vertical="center"/>
    </xf>
    <xf numFmtId="3" fontId="8" fillId="2" borderId="3" xfId="0" applyNumberFormat="1" applyFont="1" applyFill="1" applyBorder="1" applyAlignment="1">
      <alignment horizontal="right"/>
    </xf>
    <xf numFmtId="3" fontId="8" fillId="0" borderId="3" xfId="0" applyNumberFormat="1" applyFont="1" applyFill="1" applyBorder="1" applyAlignment="1">
      <alignment horizontal="center"/>
    </xf>
    <xf numFmtId="9" fontId="8" fillId="0" borderId="0" xfId="0" applyNumberFormat="1" applyFont="1" applyAlignment="1"/>
    <xf numFmtId="3" fontId="8" fillId="0" borderId="0" xfId="0" applyNumberFormat="1" applyFont="1" applyAlignment="1">
      <alignment horizontal="left"/>
    </xf>
    <xf numFmtId="166" fontId="8" fillId="0" borderId="0" xfId="0" applyNumberFormat="1" applyFont="1" applyAlignment="1"/>
    <xf numFmtId="3" fontId="8" fillId="0" borderId="0" xfId="0" quotePrefix="1" applyNumberFormat="1" applyFont="1" applyAlignment="1">
      <alignment horizontal="right"/>
    </xf>
    <xf numFmtId="3" fontId="8" fillId="0" borderId="3" xfId="0" applyNumberFormat="1" applyFont="1" applyBorder="1" applyAlignment="1">
      <alignment horizontal="right"/>
    </xf>
    <xf numFmtId="166" fontId="8" fillId="0" borderId="3" xfId="0" applyNumberFormat="1" applyFont="1" applyBorder="1" applyAlignment="1"/>
    <xf numFmtId="169" fontId="8" fillId="0" borderId="0" xfId="0" applyNumberFormat="1" applyFont="1" applyAlignment="1">
      <alignment horizontal="center"/>
    </xf>
    <xf numFmtId="168" fontId="8" fillId="0" borderId="0" xfId="0" applyNumberFormat="1" applyFont="1" applyAlignment="1">
      <alignment horizontal="left"/>
    </xf>
    <xf numFmtId="169" fontId="8" fillId="0" borderId="0" xfId="0" applyNumberFormat="1" applyFont="1" applyAlignment="1"/>
    <xf numFmtId="174" fontId="8" fillId="0" borderId="0" xfId="5" applyNumberFormat="1" applyFont="1" applyFill="1" applyAlignment="1">
      <alignment horizontal="right"/>
    </xf>
    <xf numFmtId="0" fontId="66" fillId="0" borderId="0" xfId="0" applyFont="1" applyFill="1"/>
    <xf numFmtId="3" fontId="16" fillId="0" borderId="4" xfId="0" applyNumberFormat="1" applyFont="1" applyBorder="1" applyAlignment="1">
      <alignment horizontal="center"/>
    </xf>
    <xf numFmtId="3" fontId="16" fillId="0" borderId="0" xfId="0" applyNumberFormat="1" applyFont="1" applyBorder="1"/>
    <xf numFmtId="3" fontId="8" fillId="0" borderId="0" xfId="0" applyNumberFormat="1" applyFont="1" applyFill="1" applyBorder="1"/>
    <xf numFmtId="3" fontId="8" fillId="2" borderId="3" xfId="0" applyNumberFormat="1" applyFont="1" applyFill="1" applyBorder="1"/>
    <xf numFmtId="10" fontId="8" fillId="0" borderId="0" xfId="5" applyNumberFormat="1" applyFont="1" applyFill="1" applyBorder="1"/>
    <xf numFmtId="3" fontId="16" fillId="0" borderId="3" xfId="0" applyNumberFormat="1" applyFont="1" applyBorder="1" applyAlignment="1">
      <alignment horizontal="center"/>
    </xf>
    <xf numFmtId="3" fontId="8" fillId="0" borderId="3" xfId="0" applyNumberFormat="1" applyFont="1" applyFill="1" applyBorder="1"/>
    <xf numFmtId="164" fontId="8" fillId="2" borderId="0" xfId="1" applyNumberFormat="1" applyFont="1" applyFill="1" applyAlignment="1"/>
    <xf numFmtId="3" fontId="8" fillId="3" borderId="0" xfId="0" applyNumberFormat="1" applyFont="1" applyFill="1" applyAlignment="1">
      <alignment horizontal="center"/>
    </xf>
    <xf numFmtId="164" fontId="4" fillId="0" borderId="0" xfId="1" applyNumberFormat="1" applyFont="1"/>
    <xf numFmtId="0" fontId="4" fillId="0" borderId="0" xfId="0" applyFont="1" applyAlignment="1">
      <alignment horizontal="left"/>
    </xf>
    <xf numFmtId="37" fontId="4" fillId="0" borderId="0" xfId="0" applyNumberFormat="1" applyFont="1"/>
    <xf numFmtId="0" fontId="4" fillId="0" borderId="0" xfId="0" applyFont="1" applyFill="1" applyAlignment="1">
      <alignment horizontal="left"/>
    </xf>
    <xf numFmtId="0" fontId="4" fillId="2" borderId="0" xfId="0" applyFont="1" applyFill="1"/>
    <xf numFmtId="37" fontId="4" fillId="0" borderId="0" xfId="0" applyNumberFormat="1" applyFont="1" applyFill="1"/>
    <xf numFmtId="164" fontId="4" fillId="0" borderId="0" xfId="1" applyNumberFormat="1" applyFont="1" applyFill="1" applyAlignment="1">
      <alignment horizontal="right"/>
    </xf>
    <xf numFmtId="164" fontId="4" fillId="2" borderId="0" xfId="1" applyNumberFormat="1" applyFont="1" applyFill="1" applyAlignment="1">
      <alignment horizontal="right"/>
    </xf>
    <xf numFmtId="164" fontId="4" fillId="2" borderId="0" xfId="1" applyNumberFormat="1" applyFont="1" applyFill="1"/>
    <xf numFmtId="164" fontId="4" fillId="0" borderId="0" xfId="1" applyNumberFormat="1" applyFont="1" applyAlignment="1">
      <alignment horizontal="right"/>
    </xf>
    <xf numFmtId="164" fontId="5" fillId="0" borderId="0" xfId="1" applyNumberFormat="1" applyFont="1" applyFill="1" applyAlignment="1">
      <alignment horizontal="center"/>
    </xf>
    <xf numFmtId="164" fontId="13" fillId="0" borderId="0" xfId="1" applyNumberFormat="1" applyFont="1" applyFill="1" applyAlignment="1">
      <alignment horizontal="center"/>
    </xf>
    <xf numFmtId="164" fontId="5" fillId="0" borderId="0" xfId="1" applyNumberFormat="1" applyFont="1" applyFill="1" applyAlignment="1">
      <alignment horizontal="right"/>
    </xf>
    <xf numFmtId="0" fontId="4" fillId="2" borderId="0" xfId="0" applyFont="1" applyFill="1" applyAlignment="1">
      <alignment horizontal="left" wrapText="1"/>
    </xf>
    <xf numFmtId="0" fontId="4" fillId="0" borderId="0" xfId="0" applyFont="1" applyAlignment="1">
      <alignment horizontal="left" wrapText="1"/>
    </xf>
    <xf numFmtId="164" fontId="4" fillId="2" borderId="0" xfId="1" applyNumberFormat="1" applyFont="1" applyFill="1" applyAlignment="1">
      <alignment horizontal="right" wrapText="1"/>
    </xf>
    <xf numFmtId="164" fontId="4" fillId="0" borderId="0" xfId="1" applyNumberFormat="1" applyFont="1" applyAlignment="1">
      <alignment horizontal="right" wrapText="1"/>
    </xf>
    <xf numFmtId="173" fontId="4" fillId="2" borderId="0" xfId="0" applyNumberFormat="1" applyFont="1" applyFill="1" applyAlignment="1">
      <alignment horizontal="center" wrapText="1"/>
    </xf>
    <xf numFmtId="37" fontId="4" fillId="0" borderId="0" xfId="0" applyNumberFormat="1" applyFont="1" applyAlignment="1">
      <alignment horizontal="right" wrapText="1"/>
    </xf>
    <xf numFmtId="0" fontId="5" fillId="0" borderId="0" xfId="0" applyNumberFormat="1" applyFont="1" applyFill="1" applyBorder="1" applyAlignment="1">
      <alignment horizontal="center"/>
    </xf>
    <xf numFmtId="0" fontId="4" fillId="0" borderId="0" xfId="0" applyFont="1" applyAlignment="1">
      <alignment horizontal="left" vertical="center" wrapText="1"/>
    </xf>
    <xf numFmtId="0" fontId="4" fillId="0" borderId="0" xfId="0" applyFont="1" applyAlignment="1">
      <alignment horizontal="right" wrapText="1"/>
    </xf>
    <xf numFmtId="0" fontId="4" fillId="2" borderId="0" xfId="0" applyFont="1" applyFill="1" applyAlignment="1">
      <alignment horizontal="left" vertical="center" wrapText="1"/>
    </xf>
    <xf numFmtId="0" fontId="4" fillId="0" borderId="0" xfId="0" applyNumberFormat="1" applyFont="1" applyFill="1" applyBorder="1" applyAlignment="1">
      <alignment horizontal="left"/>
    </xf>
    <xf numFmtId="164" fontId="4" fillId="0" borderId="20" xfId="1" applyNumberFormat="1" applyFont="1" applyBorder="1" applyAlignment="1">
      <alignment horizontal="right"/>
    </xf>
    <xf numFmtId="41" fontId="4" fillId="0" borderId="0" xfId="0" applyNumberFormat="1" applyFont="1" applyFill="1" applyBorder="1" applyAlignment="1">
      <alignment horizontal="right"/>
    </xf>
    <xf numFmtId="37" fontId="4" fillId="0" borderId="0" xfId="0" applyNumberFormat="1" applyFont="1" applyFill="1" applyAlignment="1">
      <alignment horizontal="right" wrapText="1"/>
    </xf>
    <xf numFmtId="164" fontId="4" fillId="0" borderId="0" xfId="1" applyNumberFormat="1" applyFont="1" applyAlignment="1"/>
    <xf numFmtId="0" fontId="4" fillId="0" borderId="0" xfId="0" applyFont="1" applyAlignment="1">
      <alignment horizontal="center"/>
    </xf>
    <xf numFmtId="0" fontId="4" fillId="0" borderId="0" xfId="0" applyFont="1" applyFill="1" applyAlignment="1"/>
    <xf numFmtId="0" fontId="4" fillId="0" borderId="0" xfId="0" applyFont="1" applyAlignment="1"/>
    <xf numFmtId="164" fontId="4" fillId="2" borderId="0" xfId="1" applyNumberFormat="1" applyFont="1" applyFill="1" applyBorder="1" applyAlignment="1">
      <alignment wrapText="1"/>
    </xf>
    <xf numFmtId="164" fontId="4" fillId="0" borderId="0" xfId="1" applyNumberFormat="1" applyFont="1" applyFill="1" applyBorder="1" applyAlignment="1">
      <alignment wrapText="1"/>
    </xf>
    <xf numFmtId="0" fontId="4" fillId="0" borderId="0" xfId="0" applyFont="1" applyAlignment="1">
      <alignment horizontal="left" vertical="center"/>
    </xf>
    <xf numFmtId="164" fontId="4" fillId="0" borderId="0" xfId="1" applyNumberFormat="1" applyFont="1" applyAlignment="1">
      <alignment vertical="center" wrapText="1"/>
    </xf>
    <xf numFmtId="0" fontId="4" fillId="0" borderId="0" xfId="0" applyFont="1" applyAlignment="1">
      <alignment vertical="top"/>
    </xf>
    <xf numFmtId="0" fontId="4" fillId="0" borderId="0" xfId="0" applyFont="1" applyAlignment="1">
      <alignment wrapText="1"/>
    </xf>
    <xf numFmtId="164" fontId="4" fillId="2" borderId="0" xfId="1" applyNumberFormat="1" applyFont="1" applyFill="1" applyAlignment="1"/>
    <xf numFmtId="164" fontId="4" fillId="2" borderId="0" xfId="1" applyNumberFormat="1" applyFont="1" applyFill="1" applyBorder="1" applyAlignment="1"/>
    <xf numFmtId="164" fontId="4" fillId="0" borderId="0" xfId="1" applyNumberFormat="1" applyFont="1" applyFill="1" applyAlignment="1"/>
    <xf numFmtId="164" fontId="4" fillId="0" borderId="0" xfId="1" applyNumberFormat="1" applyFont="1" applyFill="1" applyBorder="1" applyAlignment="1"/>
    <xf numFmtId="0" fontId="4" fillId="0" borderId="0" xfId="0" applyFont="1" applyFill="1" applyAlignment="1">
      <alignment vertical="top"/>
    </xf>
    <xf numFmtId="0" fontId="4" fillId="0" borderId="0" xfId="0" applyFont="1" applyAlignment="1">
      <alignment vertical="center" wrapText="1"/>
    </xf>
    <xf numFmtId="0" fontId="4" fillId="0" borderId="0" xfId="0" applyFont="1" applyFill="1" applyAlignment="1">
      <alignment vertical="center" wrapText="1"/>
    </xf>
    <xf numFmtId="164" fontId="4" fillId="0" borderId="0" xfId="1" applyNumberFormat="1" applyFont="1" applyBorder="1" applyAlignment="1"/>
    <xf numFmtId="165" fontId="8" fillId="0" borderId="3" xfId="3" applyFont="1" applyBorder="1" applyAlignment="1">
      <alignment vertical="center"/>
    </xf>
    <xf numFmtId="9" fontId="8" fillId="0" borderId="0" xfId="0" applyNumberFormat="1" applyFont="1" applyFill="1" applyAlignment="1"/>
    <xf numFmtId="166" fontId="8" fillId="0" borderId="0" xfId="0" applyNumberFormat="1" applyFont="1" applyFill="1" applyAlignment="1"/>
    <xf numFmtId="164" fontId="8" fillId="0" borderId="0" xfId="1" applyNumberFormat="1" applyFont="1" applyFill="1" applyAlignment="1"/>
    <xf numFmtId="0" fontId="33" fillId="0" borderId="0" xfId="0" applyFont="1" applyAlignment="1">
      <alignment horizontal="right"/>
    </xf>
    <xf numFmtId="0" fontId="4" fillId="0" borderId="9" xfId="0" applyFont="1" applyBorder="1"/>
    <xf numFmtId="0" fontId="4" fillId="0" borderId="9" xfId="0" applyFont="1" applyFill="1" applyBorder="1"/>
    <xf numFmtId="0" fontId="4" fillId="0" borderId="0" xfId="0" applyFont="1" applyFill="1" applyBorder="1" applyAlignment="1">
      <alignment horizontal="right"/>
    </xf>
    <xf numFmtId="0" fontId="4" fillId="0" borderId="8" xfId="0" applyFont="1" applyFill="1" applyBorder="1"/>
    <xf numFmtId="2" fontId="4" fillId="0" borderId="0" xfId="0" applyNumberFormat="1" applyFont="1" applyFill="1" applyBorder="1" applyAlignment="1">
      <alignment horizontal="center"/>
    </xf>
    <xf numFmtId="5" fontId="4" fillId="0" borderId="0" xfId="0" applyNumberFormat="1" applyFont="1"/>
    <xf numFmtId="0" fontId="68" fillId="0" borderId="0" xfId="0" applyFont="1"/>
    <xf numFmtId="0" fontId="33" fillId="0" borderId="0" xfId="0" applyFont="1"/>
    <xf numFmtId="173" fontId="4" fillId="0" borderId="0" xfId="5" applyNumberFormat="1" applyFont="1"/>
    <xf numFmtId="43" fontId="4" fillId="0" borderId="0" xfId="0" applyNumberFormat="1" applyFont="1"/>
    <xf numFmtId="0" fontId="4" fillId="6" borderId="0" xfId="0" applyFont="1" applyFill="1"/>
    <xf numFmtId="0" fontId="56" fillId="0" borderId="0" xfId="0" applyFont="1" applyFill="1" applyBorder="1" applyAlignment="1">
      <alignment horizontal="center"/>
    </xf>
    <xf numFmtId="3" fontId="56" fillId="0" borderId="0" xfId="0" applyNumberFormat="1" applyFont="1" applyFill="1" applyBorder="1" applyAlignment="1">
      <alignment horizontal="center"/>
    </xf>
    <xf numFmtId="0" fontId="4" fillId="0" borderId="26" xfId="0" applyFont="1" applyFill="1" applyBorder="1"/>
    <xf numFmtId="0" fontId="4" fillId="0" borderId="3" xfId="0" applyFont="1" applyFill="1" applyBorder="1"/>
    <xf numFmtId="0" fontId="4" fillId="0" borderId="27" xfId="0" applyFont="1" applyFill="1" applyBorder="1"/>
    <xf numFmtId="0" fontId="59" fillId="0" borderId="0" xfId="0" applyFont="1" applyAlignment="1"/>
    <xf numFmtId="0" fontId="61" fillId="0" borderId="0" xfId="0" applyFont="1" applyAlignment="1"/>
    <xf numFmtId="0" fontId="26" fillId="5" borderId="14" xfId="0" applyFont="1" applyFill="1" applyBorder="1" applyAlignment="1">
      <alignment horizontal="center" wrapText="1"/>
    </xf>
    <xf numFmtId="0" fontId="26" fillId="0" borderId="0" xfId="0" applyFont="1" applyFill="1" applyBorder="1" applyAlignment="1">
      <alignment horizontal="center" wrapText="1"/>
    </xf>
    <xf numFmtId="0" fontId="43" fillId="0" borderId="0" xfId="0" applyFont="1" applyFill="1" applyBorder="1" applyAlignment="1">
      <alignment horizontal="center"/>
    </xf>
    <xf numFmtId="0" fontId="43" fillId="0" borderId="6" xfId="0" applyFont="1" applyFill="1" applyBorder="1" applyAlignment="1">
      <alignment horizontal="center"/>
    </xf>
    <xf numFmtId="0" fontId="43" fillId="0" borderId="7" xfId="0" applyFont="1" applyFill="1" applyBorder="1" applyAlignment="1">
      <alignment horizontal="center"/>
    </xf>
    <xf numFmtId="0" fontId="32" fillId="0" borderId="0" xfId="0" applyFont="1" applyFill="1" applyBorder="1" applyAlignment="1">
      <alignment horizontal="center" wrapText="1"/>
    </xf>
    <xf numFmtId="0" fontId="32" fillId="0" borderId="7" xfId="0" applyFont="1" applyFill="1" applyBorder="1" applyAlignment="1">
      <alignment horizontal="center" wrapText="1"/>
    </xf>
    <xf numFmtId="0" fontId="27" fillId="0" borderId="7" xfId="0" applyNumberFormat="1" applyFont="1" applyFill="1" applyBorder="1" applyAlignment="1">
      <alignment horizontal="left" wrapText="1"/>
    </xf>
    <xf numFmtId="164" fontId="27" fillId="0" borderId="9" xfId="0" applyNumberFormat="1" applyFont="1" applyBorder="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7" fontId="69" fillId="0" borderId="0" xfId="0" applyNumberFormat="1" applyFont="1" applyFill="1"/>
    <xf numFmtId="37" fontId="21" fillId="0" borderId="0" xfId="0" applyNumberFormat="1" applyFont="1" applyFill="1" applyBorder="1" applyAlignment="1">
      <alignment horizontal="center"/>
    </xf>
    <xf numFmtId="43" fontId="4" fillId="0" borderId="0" xfId="0" applyNumberFormat="1" applyFont="1" applyFill="1" applyBorder="1"/>
    <xf numFmtId="37" fontId="8" fillId="0" borderId="0" xfId="0" applyNumberFormat="1" applyFont="1" applyAlignment="1"/>
    <xf numFmtId="0" fontId="4" fillId="0" borderId="0" xfId="0" applyFont="1" applyAlignment="1">
      <alignment horizontal="center"/>
    </xf>
    <xf numFmtId="166" fontId="8" fillId="7" borderId="0" xfId="0" applyNumberFormat="1" applyFont="1" applyFill="1" applyAlignment="1"/>
    <xf numFmtId="172" fontId="8" fillId="0" borderId="0" xfId="1" applyNumberFormat="1" applyFont="1" applyFill="1" applyBorder="1" applyAlignment="1"/>
    <xf numFmtId="43" fontId="8" fillId="0" borderId="0" xfId="0" applyNumberFormat="1" applyFont="1" applyFill="1"/>
    <xf numFmtId="37" fontId="71" fillId="0" borderId="0" xfId="0" applyNumberFormat="1" applyFont="1" applyFill="1" applyBorder="1" applyAlignment="1">
      <alignment horizontal="center"/>
    </xf>
    <xf numFmtId="43" fontId="4" fillId="0" borderId="0" xfId="1" applyFont="1" applyFill="1"/>
    <xf numFmtId="0" fontId="4"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164" fontId="7" fillId="0" borderId="0" xfId="1" applyNumberFormat="1" applyFont="1"/>
    <xf numFmtId="0" fontId="26" fillId="5" borderId="14" xfId="0" applyFont="1" applyFill="1" applyBorder="1" applyAlignment="1">
      <alignment horizontal="center" wrapText="1"/>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164" fontId="47" fillId="0" borderId="0" xfId="1" applyNumberFormat="1" applyFont="1" applyFill="1" applyAlignment="1">
      <alignment horizontal="left"/>
    </xf>
    <xf numFmtId="178" fontId="0" fillId="0" borderId="0" xfId="0" applyNumberFormat="1" applyAlignment="1">
      <alignment horizontal="right"/>
    </xf>
    <xf numFmtId="164" fontId="8" fillId="0" borderId="0" xfId="1" applyNumberFormat="1" applyFont="1" applyFill="1"/>
    <xf numFmtId="43" fontId="27" fillId="0" borderId="0" xfId="1" applyFont="1"/>
    <xf numFmtId="43" fontId="4" fillId="0" borderId="0" xfId="1" applyFont="1" applyFill="1" applyBorder="1"/>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73" fontId="0" fillId="0" borderId="6" xfId="0" applyNumberFormat="1" applyBorder="1"/>
    <xf numFmtId="164" fontId="4" fillId="0" borderId="0" xfId="1" applyNumberFormat="1" applyFont="1" applyFill="1" applyBorder="1" applyAlignment="1">
      <alignment horizontal="center"/>
    </xf>
    <xf numFmtId="179" fontId="4" fillId="0" borderId="0" xfId="0" applyNumberFormat="1" applyFont="1" applyFill="1"/>
    <xf numFmtId="0" fontId="5" fillId="0" borderId="16" xfId="0" applyFont="1" applyFill="1" applyBorder="1" applyAlignment="1">
      <alignment horizontal="center"/>
    </xf>
    <xf numFmtId="0" fontId="5" fillId="10" borderId="0" xfId="0" applyFont="1" applyFill="1" applyBorder="1"/>
    <xf numFmtId="0" fontId="4" fillId="10" borderId="0" xfId="0" applyFont="1" applyFill="1" applyAlignment="1">
      <alignment horizontal="center"/>
    </xf>
    <xf numFmtId="0" fontId="4" fillId="10" borderId="0" xfId="0" applyFont="1" applyFill="1"/>
    <xf numFmtId="164" fontId="4" fillId="10" borderId="0" xfId="1" applyNumberFormat="1" applyFont="1" applyFill="1"/>
    <xf numFmtId="0" fontId="4" fillId="10" borderId="0" xfId="0" applyFont="1" applyFill="1" applyBorder="1"/>
    <xf numFmtId="0" fontId="27" fillId="0" borderId="0" xfId="0" applyFont="1" applyFill="1" applyBorder="1" applyAlignment="1">
      <alignment horizontal="center"/>
    </xf>
    <xf numFmtId="0" fontId="27" fillId="0" borderId="7" xfId="0" applyFont="1" applyFill="1" applyBorder="1" applyAlignment="1">
      <alignment horizontal="center"/>
    </xf>
    <xf numFmtId="0" fontId="4" fillId="0" borderId="0" xfId="0" applyFont="1" applyFill="1" applyBorder="1" applyAlignment="1">
      <alignment horizontal="center"/>
    </xf>
    <xf numFmtId="0" fontId="5" fillId="0" borderId="16"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43" fontId="8" fillId="0" borderId="0" xfId="1" applyFont="1" applyFill="1" applyBorder="1" applyAlignment="1">
      <alignment horizontal="center"/>
    </xf>
    <xf numFmtId="3" fontId="27" fillId="0" borderId="0" xfId="0" applyNumberFormat="1" applyFont="1" applyBorder="1"/>
    <xf numFmtId="0" fontId="4" fillId="0" borderId="0"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169" fontId="6" fillId="0" borderId="2" xfId="0" applyNumberFormat="1" applyFont="1" applyFill="1" applyBorder="1" applyAlignment="1"/>
    <xf numFmtId="164" fontId="73" fillId="0" borderId="0" xfId="1" applyNumberFormat="1" applyFont="1"/>
    <xf numFmtId="43" fontId="47" fillId="0" borderId="0" xfId="1" applyNumberFormat="1" applyFont="1" applyFill="1" applyAlignment="1">
      <alignment horizontal="left"/>
    </xf>
    <xf numFmtId="0" fontId="43" fillId="9" borderId="5" xfId="0" applyFont="1" applyFill="1" applyBorder="1" applyAlignment="1">
      <alignment horizontal="left"/>
    </xf>
    <xf numFmtId="0" fontId="81" fillId="0" borderId="0" xfId="0" applyFont="1"/>
    <xf numFmtId="0" fontId="75" fillId="0" borderId="29" xfId="16" applyFont="1" applyBorder="1"/>
    <xf numFmtId="0" fontId="75" fillId="0" borderId="26" xfId="16" applyFont="1" applyBorder="1"/>
    <xf numFmtId="0" fontId="15" fillId="2" borderId="21" xfId="16" applyFont="1" applyFill="1" applyBorder="1" applyAlignment="1">
      <alignment wrapText="1"/>
    </xf>
    <xf numFmtId="0" fontId="6" fillId="6" borderId="9" xfId="0" applyNumberFormat="1" applyFont="1" applyFill="1" applyBorder="1" applyAlignment="1">
      <alignment horizontal="center"/>
    </xf>
    <xf numFmtId="0" fontId="6" fillId="0" borderId="0" xfId="0" applyNumberFormat="1" applyFont="1" applyFill="1" applyBorder="1" applyAlignment="1">
      <alignment horizontal="center"/>
    </xf>
    <xf numFmtId="3" fontId="8" fillId="0" borderId="0" xfId="0" applyNumberFormat="1" applyFont="1" applyBorder="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1" xfId="0" applyNumberFormat="1" applyFont="1" applyBorder="1" applyAlignment="1">
      <alignment horizontal="right"/>
    </xf>
    <xf numFmtId="3" fontId="10" fillId="0" borderId="3" xfId="0" applyNumberFormat="1" applyFont="1" applyBorder="1" applyAlignment="1">
      <alignment horizontal="right"/>
    </xf>
    <xf numFmtId="3" fontId="89" fillId="0" borderId="1" xfId="0" applyNumberFormat="1" applyFont="1" applyBorder="1" applyAlignment="1">
      <alignment horizontal="right"/>
    </xf>
    <xf numFmtId="171" fontId="8" fillId="0" borderId="0" xfId="5" applyNumberFormat="1" applyFont="1" applyAlignment="1">
      <alignment horizontal="right"/>
    </xf>
    <xf numFmtId="3" fontId="6" fillId="0" borderId="0" xfId="0" applyNumberFormat="1" applyFont="1" applyBorder="1" applyAlignment="1">
      <alignment horizontal="right"/>
    </xf>
    <xf numFmtId="0" fontId="66" fillId="4" borderId="0" xfId="0" applyFont="1" applyFill="1" applyAlignment="1">
      <alignment horizontal="left"/>
    </xf>
    <xf numFmtId="3" fontId="6" fillId="0" borderId="0" xfId="0" applyNumberFormat="1" applyFont="1" applyFill="1" applyAlignment="1">
      <alignment horizontal="right"/>
    </xf>
    <xf numFmtId="3" fontId="8" fillId="2" borderId="0" xfId="0" applyNumberFormat="1" applyFont="1" applyFill="1" applyAlignment="1">
      <alignment horizontal="right"/>
    </xf>
    <xf numFmtId="173" fontId="10" fillId="0" borderId="0" xfId="0" applyNumberFormat="1" applyFont="1" applyAlignment="1">
      <alignment horizontal="right"/>
    </xf>
    <xf numFmtId="3" fontId="6" fillId="2" borderId="0" xfId="0" applyNumberFormat="1" applyFont="1" applyFill="1" applyAlignment="1">
      <alignment horizontal="right"/>
    </xf>
    <xf numFmtId="3" fontId="6" fillId="11" borderId="0" xfId="0" applyNumberFormat="1" applyFont="1" applyFill="1" applyAlignment="1">
      <alignment horizontal="right"/>
    </xf>
    <xf numFmtId="3" fontId="8" fillId="0" borderId="0" xfId="0" applyNumberFormat="1" applyFont="1" applyAlignment="1">
      <alignment horizontal="right"/>
    </xf>
    <xf numFmtId="0" fontId="8" fillId="0" borderId="0" xfId="0" applyNumberFormat="1" applyFont="1" applyFill="1"/>
    <xf numFmtId="10" fontId="8" fillId="2" borderId="0" xfId="0" applyNumberFormat="1" applyFont="1" applyFill="1"/>
    <xf numFmtId="10" fontId="8" fillId="0" borderId="0" xfId="0" applyNumberFormat="1" applyFont="1" applyFill="1"/>
    <xf numFmtId="3" fontId="10" fillId="0" borderId="0" xfId="0" applyNumberFormat="1" applyFont="1" applyBorder="1" applyAlignment="1">
      <alignment horizontal="right"/>
    </xf>
    <xf numFmtId="37" fontId="8" fillId="0" borderId="0" xfId="0" applyNumberFormat="1" applyFont="1" applyBorder="1" applyAlignment="1">
      <alignment horizontal="left"/>
    </xf>
    <xf numFmtId="37" fontId="6" fillId="7" borderId="0" xfId="0" applyNumberFormat="1" applyFont="1" applyFill="1" applyBorder="1" applyAlignment="1">
      <alignment horizontal="right"/>
    </xf>
    <xf numFmtId="37" fontId="8" fillId="0" borderId="0" xfId="0" applyNumberFormat="1" applyFont="1" applyFill="1" applyBorder="1" applyAlignment="1">
      <alignment horizontal="left"/>
    </xf>
    <xf numFmtId="37" fontId="6" fillId="0" borderId="0" xfId="0" applyNumberFormat="1" applyFont="1" applyBorder="1" applyAlignment="1">
      <alignment horizontal="right"/>
    </xf>
    <xf numFmtId="37" fontId="6" fillId="0" borderId="0" xfId="0" applyNumberFormat="1" applyFont="1" applyFill="1" applyBorder="1" applyAlignment="1">
      <alignment horizontal="right"/>
    </xf>
    <xf numFmtId="0" fontId="11" fillId="0" borderId="0" xfId="0" applyFont="1" applyFill="1" applyBorder="1" applyAlignment="1">
      <alignment horizontal="center"/>
    </xf>
    <xf numFmtId="0" fontId="70" fillId="0" borderId="0" xfId="0" applyFont="1" applyAlignment="1">
      <alignment vertical="center"/>
    </xf>
    <xf numFmtId="0" fontId="91" fillId="0" borderId="0" xfId="0" applyFont="1" applyAlignment="1">
      <alignment horizontal="center" vertical="center"/>
    </xf>
    <xf numFmtId="3" fontId="8" fillId="0" borderId="0" xfId="1" applyNumberFormat="1" applyFont="1" applyFill="1" applyBorder="1" applyAlignment="1">
      <alignment horizontal="right"/>
    </xf>
    <xf numFmtId="0" fontId="92" fillId="0" borderId="0" xfId="0" applyFont="1"/>
    <xf numFmtId="170" fontId="8" fillId="0" borderId="0" xfId="4" applyFont="1" applyFill="1" applyAlignment="1" applyProtection="1"/>
    <xf numFmtId="172" fontId="8" fillId="0" borderId="0" xfId="1" applyNumberFormat="1" applyFont="1" applyFill="1"/>
    <xf numFmtId="10" fontId="8" fillId="0" borderId="0" xfId="24" applyNumberFormat="1" applyFont="1" applyAlignment="1"/>
    <xf numFmtId="172" fontId="8" fillId="0" borderId="0" xfId="0" applyNumberFormat="1" applyFont="1" applyFill="1"/>
    <xf numFmtId="3" fontId="12" fillId="0" borderId="0" xfId="0" applyNumberFormat="1" applyFont="1" applyBorder="1" applyAlignment="1">
      <alignment horizontal="right"/>
    </xf>
    <xf numFmtId="3" fontId="8" fillId="11" borderId="0" xfId="0" applyNumberFormat="1" applyFont="1" applyFill="1"/>
    <xf numFmtId="3" fontId="8" fillId="11" borderId="3" xfId="0" applyNumberFormat="1" applyFont="1" applyFill="1" applyBorder="1"/>
    <xf numFmtId="0" fontId="7" fillId="9" borderId="4" xfId="0" applyFont="1" applyFill="1" applyBorder="1"/>
    <xf numFmtId="0" fontId="7" fillId="9" borderId="4" xfId="0" applyFont="1" applyFill="1" applyBorder="1" applyAlignment="1">
      <alignment horizontal="left"/>
    </xf>
    <xf numFmtId="0" fontId="7" fillId="9" borderId="13" xfId="0" applyFont="1" applyFill="1" applyBorder="1" applyAlignment="1">
      <alignment horizontal="left"/>
    </xf>
    <xf numFmtId="164" fontId="52" fillId="13" borderId="0" xfId="25" applyNumberFormat="1" applyFont="1" applyFill="1" applyBorder="1" applyAlignment="1">
      <alignment horizontal="center"/>
    </xf>
    <xf numFmtId="164" fontId="81" fillId="13" borderId="0" xfId="25" applyNumberFormat="1" applyFont="1" applyFill="1" applyBorder="1"/>
    <xf numFmtId="0" fontId="81" fillId="13" borderId="0" xfId="0" applyFont="1" applyFill="1" applyBorder="1" applyAlignment="1">
      <alignment horizontal="center"/>
    </xf>
    <xf numFmtId="0" fontId="81" fillId="13" borderId="7" xfId="0" applyFont="1" applyFill="1" applyBorder="1" applyAlignment="1">
      <alignment horizontal="center"/>
    </xf>
    <xf numFmtId="0" fontId="81" fillId="13" borderId="0" xfId="0" applyNumberFormat="1" applyFont="1" applyFill="1" applyBorder="1" applyAlignment="1"/>
    <xf numFmtId="0" fontId="81" fillId="13" borderId="7" xfId="0" applyNumberFormat="1" applyFont="1" applyFill="1" applyBorder="1" applyAlignment="1"/>
    <xf numFmtId="164" fontId="52" fillId="13" borderId="3" xfId="25" applyNumberFormat="1" applyFont="1" applyFill="1" applyBorder="1" applyAlignment="1">
      <alignment horizontal="center"/>
    </xf>
    <xf numFmtId="164" fontId="81" fillId="13" borderId="0" xfId="25" applyNumberFormat="1" applyFont="1" applyFill="1" applyBorder="1" applyAlignment="1">
      <alignment horizontal="center"/>
    </xf>
    <xf numFmtId="167" fontId="81" fillId="11" borderId="0" xfId="26" applyNumberFormat="1" applyFont="1" applyFill="1" applyBorder="1"/>
    <xf numFmtId="167" fontId="81" fillId="13" borderId="0" xfId="26" applyNumberFormat="1" applyFont="1" applyFill="1" applyBorder="1" applyAlignment="1">
      <alignment horizontal="center"/>
    </xf>
    <xf numFmtId="164" fontId="81" fillId="13" borderId="0" xfId="25" quotePrefix="1" applyNumberFormat="1" applyFont="1" applyFill="1" applyBorder="1" applyAlignment="1">
      <alignment horizontal="center"/>
    </xf>
    <xf numFmtId="167" fontId="81" fillId="13" borderId="0" xfId="26" applyNumberFormat="1" applyFont="1" applyFill="1" applyBorder="1"/>
    <xf numFmtId="0" fontId="29" fillId="13" borderId="0" xfId="25" applyNumberFormat="1" applyFont="1" applyFill="1" applyBorder="1" applyAlignment="1"/>
    <xf numFmtId="0" fontId="29" fillId="13" borderId="7" xfId="25" applyNumberFormat="1" applyFont="1" applyFill="1" applyBorder="1" applyAlignment="1"/>
    <xf numFmtId="0" fontId="29" fillId="13" borderId="0" xfId="26" applyNumberFormat="1" applyFont="1" applyFill="1" applyBorder="1" applyAlignment="1"/>
    <xf numFmtId="0" fontId="29" fillId="13" borderId="7" xfId="26" applyNumberFormat="1" applyFont="1" applyFill="1" applyBorder="1" applyAlignment="1"/>
    <xf numFmtId="167" fontId="81" fillId="13" borderId="2" xfId="26" applyNumberFormat="1" applyFont="1" applyFill="1" applyBorder="1"/>
    <xf numFmtId="0" fontId="81" fillId="13" borderId="9" xfId="0" applyNumberFormat="1" applyFont="1" applyFill="1" applyBorder="1" applyAlignment="1">
      <alignment horizontal="center"/>
    </xf>
    <xf numFmtId="164" fontId="81" fillId="13" borderId="9" xfId="25" applyNumberFormat="1" applyFont="1" applyFill="1" applyBorder="1"/>
    <xf numFmtId="164" fontId="81" fillId="13" borderId="9" xfId="0" applyNumberFormat="1" applyFont="1" applyFill="1" applyBorder="1"/>
    <xf numFmtId="0" fontId="52" fillId="13" borderId="9" xfId="0" applyFont="1" applyFill="1" applyBorder="1" applyAlignment="1">
      <alignment horizontal="center"/>
    </xf>
    <xf numFmtId="0" fontId="81" fillId="13" borderId="9" xfId="0" applyFont="1" applyFill="1" applyBorder="1" applyAlignment="1">
      <alignment horizontal="center"/>
    </xf>
    <xf numFmtId="0" fontId="81" fillId="13" borderId="10" xfId="0" applyFont="1" applyFill="1" applyBorder="1" applyAlignment="1">
      <alignment horizontal="center"/>
    </xf>
    <xf numFmtId="0" fontId="66" fillId="0" borderId="0" xfId="0" applyFont="1" applyFill="1" applyBorder="1" applyAlignment="1">
      <alignment horizontal="center" wrapText="1"/>
    </xf>
    <xf numFmtId="43" fontId="66" fillId="0" borderId="0" xfId="0" applyNumberFormat="1" applyFont="1" applyFill="1"/>
    <xf numFmtId="0" fontId="8" fillId="0" borderId="0" xfId="0" applyFont="1" applyFill="1" applyBorder="1" applyAlignment="1">
      <alignment horizontal="right"/>
    </xf>
    <xf numFmtId="0" fontId="92" fillId="0" borderId="0" xfId="0" applyFont="1" applyFill="1"/>
    <xf numFmtId="0" fontId="70" fillId="0" borderId="0" xfId="0" applyFont="1" applyFill="1" applyBorder="1"/>
    <xf numFmtId="3" fontId="8" fillId="2" borderId="0" xfId="1" applyNumberFormat="1" applyFont="1" applyFill="1" applyAlignment="1"/>
    <xf numFmtId="3" fontId="8" fillId="0" borderId="1" xfId="1" applyNumberFormat="1" applyFont="1" applyFill="1" applyBorder="1" applyAlignment="1">
      <alignment horizontal="right"/>
    </xf>
    <xf numFmtId="3" fontId="8" fillId="2" borderId="3" xfId="1" applyNumberFormat="1" applyFont="1" applyFill="1" applyBorder="1" applyAlignment="1"/>
    <xf numFmtId="3" fontId="8" fillId="0" borderId="0" xfId="1" applyNumberFormat="1" applyFont="1" applyFill="1"/>
    <xf numFmtId="3" fontId="8" fillId="0" borderId="3" xfId="1" applyNumberFormat="1" applyFont="1" applyFill="1" applyBorder="1"/>
    <xf numFmtId="0" fontId="81" fillId="13" borderId="8" xfId="0" applyNumberFormat="1" applyFont="1" applyFill="1" applyBorder="1" applyAlignment="1">
      <alignment horizontal="left" vertical="center"/>
    </xf>
    <xf numFmtId="0" fontId="4" fillId="0" borderId="0" xfId="0" applyFont="1" applyAlignment="1">
      <alignment horizontal="center"/>
    </xf>
    <xf numFmtId="0" fontId="47" fillId="11" borderId="0" xfId="9" applyNumberFormat="1" applyFont="1" applyFill="1" applyAlignment="1">
      <alignment horizontal="left"/>
    </xf>
    <xf numFmtId="0" fontId="47" fillId="11" borderId="0" xfId="9" applyFont="1" applyFill="1" applyAlignment="1">
      <alignment horizontal="center"/>
    </xf>
    <xf numFmtId="0" fontId="72" fillId="11" borderId="0" xfId="9" applyFill="1"/>
    <xf numFmtId="0" fontId="47" fillId="11" borderId="0" xfId="9" applyFont="1" applyFill="1" applyAlignment="1">
      <alignment horizontal="right"/>
    </xf>
    <xf numFmtId="164" fontId="47" fillId="11" borderId="3" xfId="1" applyNumberFormat="1" applyFont="1" applyFill="1" applyBorder="1"/>
    <xf numFmtId="0" fontId="5" fillId="0" borderId="0" xfId="0" applyFont="1" applyAlignment="1">
      <alignment horizontal="center"/>
    </xf>
    <xf numFmtId="0" fontId="5" fillId="0" borderId="16" xfId="0" applyFont="1" applyBorder="1" applyAlignment="1">
      <alignment horizontal="center"/>
    </xf>
    <xf numFmtId="0" fontId="4" fillId="0" borderId="0" xfId="0" applyFont="1" applyAlignment="1">
      <alignment horizontal="center"/>
    </xf>
    <xf numFmtId="3" fontId="8" fillId="2" borderId="0" xfId="0" applyNumberFormat="1" applyFont="1" applyFill="1"/>
    <xf numFmtId="180" fontId="6" fillId="2" borderId="0" xfId="0" applyNumberFormat="1" applyFont="1" applyFill="1" applyBorder="1" applyAlignment="1">
      <alignment horizontal="right"/>
    </xf>
    <xf numFmtId="164" fontId="4" fillId="2" borderId="0" xfId="1" applyNumberFormat="1" applyFill="1" applyAlignment="1">
      <alignment horizontal="right" wrapText="1"/>
    </xf>
    <xf numFmtId="164" fontId="4" fillId="2" borderId="0" xfId="1" applyNumberFormat="1" applyFill="1" applyAlignment="1">
      <alignment horizontal="right"/>
    </xf>
    <xf numFmtId="43" fontId="4" fillId="0" borderId="0" xfId="1" applyAlignment="1">
      <alignment horizontal="right"/>
    </xf>
    <xf numFmtId="164" fontId="4" fillId="2" borderId="0" xfId="1" applyNumberFormat="1" applyFill="1" applyAlignment="1">
      <alignment wrapText="1"/>
    </xf>
    <xf numFmtId="164" fontId="4" fillId="0" borderId="0" xfId="1" applyNumberFormat="1"/>
    <xf numFmtId="3" fontId="27" fillId="0" borderId="0" xfId="0" applyNumberFormat="1" applyFont="1" applyAlignment="1">
      <alignment horizontal="center"/>
    </xf>
    <xf numFmtId="3" fontId="56" fillId="0" borderId="22" xfId="0" applyNumberFormat="1" applyFont="1" applyBorder="1" applyAlignment="1">
      <alignment horizontal="center"/>
    </xf>
    <xf numFmtId="181" fontId="30" fillId="0" borderId="8" xfId="1" applyNumberFormat="1" applyFont="1" applyBorder="1" applyAlignment="1">
      <alignment horizontal="center"/>
    </xf>
    <xf numFmtId="181" fontId="22" fillId="0" borderId="0" xfId="1" applyNumberFormat="1" applyFont="1" applyAlignment="1">
      <alignment horizontal="center"/>
    </xf>
    <xf numFmtId="164" fontId="22" fillId="0" borderId="0" xfId="1" applyNumberFormat="1" applyFont="1" applyAlignment="1">
      <alignment horizontal="center"/>
    </xf>
    <xf numFmtId="164" fontId="27" fillId="0" borderId="0" xfId="0" applyNumberFormat="1" applyFont="1"/>
    <xf numFmtId="164" fontId="4" fillId="0" borderId="7" xfId="1" applyNumberFormat="1" applyBorder="1" applyAlignment="1">
      <alignment horizontal="center"/>
    </xf>
    <xf numFmtId="0" fontId="4" fillId="0" borderId="6" xfId="0" applyFont="1" applyBorder="1" applyAlignment="1">
      <alignment horizontal="right"/>
    </xf>
    <xf numFmtId="164" fontId="4" fillId="0" borderId="7" xfId="1" applyNumberFormat="1" applyBorder="1"/>
    <xf numFmtId="164" fontId="4" fillId="0" borderId="6" xfId="1" applyNumberFormat="1" applyBorder="1"/>
    <xf numFmtId="164" fontId="4" fillId="0" borderId="8" xfId="1" applyNumberFormat="1" applyBorder="1"/>
    <xf numFmtId="164" fontId="4" fillId="0" borderId="9" xfId="1" applyNumberFormat="1" applyBorder="1"/>
    <xf numFmtId="164" fontId="4" fillId="0" borderId="10" xfId="1" applyNumberFormat="1" applyBorder="1"/>
    <xf numFmtId="164" fontId="4" fillId="0" borderId="8" xfId="0" applyNumberFormat="1" applyFont="1" applyBorder="1"/>
    <xf numFmtId="164" fontId="4" fillId="0" borderId="9" xfId="0" applyNumberFormat="1" applyFont="1" applyBorder="1"/>
    <xf numFmtId="164" fontId="4" fillId="0" borderId="0" xfId="1" applyNumberFormat="1" applyBorder="1"/>
    <xf numFmtId="0" fontId="61" fillId="0" borderId="0" xfId="0" applyFont="1" applyBorder="1" applyAlignment="1">
      <alignment horizontal="right"/>
    </xf>
    <xf numFmtId="0" fontId="59" fillId="0" borderId="0" xfId="0" applyFont="1" applyBorder="1" applyAlignment="1">
      <alignment horizontal="right"/>
    </xf>
    <xf numFmtId="2" fontId="61" fillId="0" borderId="0" xfId="0" applyNumberFormat="1" applyFont="1" applyBorder="1" applyAlignment="1">
      <alignment horizontal="right"/>
    </xf>
    <xf numFmtId="164" fontId="4" fillId="0" borderId="9" xfId="1" applyNumberFormat="1" applyBorder="1" applyAlignment="1">
      <alignment horizontal="center"/>
    </xf>
    <xf numFmtId="164" fontId="4" fillId="2" borderId="21" xfId="23" applyNumberFormat="1" applyFill="1" applyBorder="1" applyAlignment="1">
      <alignment wrapText="1"/>
    </xf>
    <xf numFmtId="0" fontId="5" fillId="0" borderId="0" xfId="16" applyFont="1" applyAlignment="1">
      <alignment horizontal="center"/>
    </xf>
    <xf numFmtId="0" fontId="27" fillId="0" borderId="0" xfId="0" applyFont="1" applyFill="1" applyBorder="1" applyAlignment="1">
      <alignment horizontal="center" wrapText="1"/>
    </xf>
    <xf numFmtId="0" fontId="30" fillId="0" borderId="0" xfId="0" applyFont="1" applyFill="1" applyBorder="1" applyAlignment="1">
      <alignment horizontal="center" wrapText="1"/>
    </xf>
    <xf numFmtId="164" fontId="4" fillId="0" borderId="0" xfId="1" applyNumberFormat="1" applyFont="1" applyFill="1" applyBorder="1" applyAlignment="1">
      <alignment horizontal="center"/>
    </xf>
    <xf numFmtId="0" fontId="16" fillId="0" borderId="0" xfId="0" applyFont="1" applyAlignment="1">
      <alignment horizontal="center"/>
    </xf>
    <xf numFmtId="0" fontId="8" fillId="0" borderId="0" xfId="0" applyFont="1" applyAlignment="1">
      <alignment horizontal="center"/>
    </xf>
    <xf numFmtId="0" fontId="27" fillId="0" borderId="0" xfId="0" applyFont="1" applyAlignment="1">
      <alignment horizontal="left" wrapText="1"/>
    </xf>
    <xf numFmtId="0" fontId="27" fillId="0" borderId="7" xfId="0" applyFont="1" applyBorder="1" applyAlignment="1">
      <alignment horizontal="left" wrapText="1"/>
    </xf>
    <xf numFmtId="164" fontId="74" fillId="11" borderId="0" xfId="40" applyNumberFormat="1" applyFont="1" applyFill="1" applyBorder="1" applyAlignment="1">
      <alignment vertical="center" wrapText="1"/>
    </xf>
    <xf numFmtId="164" fontId="74" fillId="11" borderId="0" xfId="40" applyNumberFormat="1" applyFont="1" applyFill="1" applyBorder="1" applyAlignment="1">
      <alignment horizontal="right" vertical="center" wrapText="1"/>
    </xf>
    <xf numFmtId="10" fontId="74" fillId="0" borderId="0" xfId="45" applyNumberFormat="1" applyFont="1" applyFill="1"/>
    <xf numFmtId="164" fontId="74" fillId="0" borderId="0" xfId="40" applyNumberFormat="1" applyFont="1" applyFill="1" applyBorder="1" applyAlignment="1">
      <alignment horizontal="right" vertical="center" wrapText="1"/>
    </xf>
    <xf numFmtId="164" fontId="74" fillId="0" borderId="0" xfId="40" applyNumberFormat="1" applyFont="1" applyFill="1" applyBorder="1" applyAlignment="1">
      <alignment vertical="center" wrapText="1"/>
    </xf>
    <xf numFmtId="0" fontId="74" fillId="11" borderId="0" xfId="40" applyNumberFormat="1" applyFont="1" applyFill="1" applyBorder="1" applyAlignment="1">
      <alignment horizontal="right" vertical="center" wrapText="1"/>
    </xf>
    <xf numFmtId="164" fontId="74" fillId="0" borderId="1" xfId="40" applyNumberFormat="1" applyFont="1" applyFill="1" applyBorder="1" applyAlignment="1">
      <alignment vertical="center" wrapText="1"/>
    </xf>
    <xf numFmtId="0" fontId="74" fillId="0" borderId="0" xfId="40" applyNumberFormat="1" applyFont="1" applyFill="1" applyBorder="1" applyAlignment="1">
      <alignment horizontal="right" vertical="center" wrapText="1"/>
    </xf>
    <xf numFmtId="164" fontId="74" fillId="0" borderId="1" xfId="40" applyNumberFormat="1" applyFont="1" applyFill="1" applyBorder="1" applyAlignment="1">
      <alignment horizontal="right" vertical="center" wrapText="1"/>
    </xf>
    <xf numFmtId="164" fontId="74" fillId="11" borderId="0" xfId="40" applyNumberFormat="1" applyFont="1" applyFill="1" applyAlignment="1">
      <alignment vertical="center" wrapText="1"/>
    </xf>
    <xf numFmtId="164" fontId="74" fillId="11" borderId="3" xfId="40" applyNumberFormat="1" applyFont="1" applyFill="1" applyBorder="1" applyAlignment="1">
      <alignment vertical="center" wrapText="1"/>
    </xf>
    <xf numFmtId="164" fontId="101" fillId="0" borderId="0" xfId="40" applyNumberFormat="1" applyFont="1" applyFill="1" applyBorder="1" applyAlignment="1">
      <alignment vertical="center" wrapText="1"/>
    </xf>
    <xf numFmtId="164" fontId="74" fillId="0" borderId="32" xfId="40" applyNumberFormat="1" applyFont="1" applyFill="1" applyBorder="1" applyAlignment="1">
      <alignment vertical="center" wrapText="1"/>
    </xf>
    <xf numFmtId="0" fontId="4" fillId="0" borderId="0" xfId="46" applyFont="1"/>
    <xf numFmtId="0" fontId="88" fillId="0" borderId="0" xfId="46" applyFont="1" applyAlignment="1">
      <alignment horizontal="center"/>
    </xf>
    <xf numFmtId="0" fontId="4" fillId="0" borderId="0" xfId="46" applyFont="1" applyAlignment="1">
      <alignment horizontal="left"/>
    </xf>
    <xf numFmtId="0" fontId="88" fillId="0" borderId="0" xfId="46" applyFont="1"/>
    <xf numFmtId="0" fontId="5" fillId="0" borderId="0" xfId="46" applyFont="1" applyAlignment="1">
      <alignment horizontal="center"/>
    </xf>
    <xf numFmtId="0" fontId="5" fillId="0" borderId="3" xfId="46" applyFont="1" applyBorder="1"/>
    <xf numFmtId="0" fontId="5" fillId="0" borderId="3" xfId="16" applyFont="1" applyBorder="1" applyAlignment="1">
      <alignment horizontal="center"/>
    </xf>
    <xf numFmtId="0" fontId="5" fillId="0" borderId="3" xfId="46" applyFont="1" applyBorder="1" applyAlignment="1">
      <alignment horizontal="center"/>
    </xf>
    <xf numFmtId="0" fontId="4" fillId="0" borderId="0" xfId="16" applyAlignment="1">
      <alignment horizontal="left" indent="1"/>
    </xf>
    <xf numFmtId="164" fontId="4" fillId="11" borderId="0" xfId="40" applyNumberFormat="1" applyFont="1" applyFill="1"/>
    <xf numFmtId="41" fontId="4" fillId="0" borderId="0" xfId="46" applyNumberFormat="1" applyFont="1"/>
    <xf numFmtId="164" fontId="4" fillId="0" borderId="3" xfId="40" applyNumberFormat="1" applyFont="1" applyFill="1" applyBorder="1"/>
    <xf numFmtId="0" fontId="5" fillId="0" borderId="0" xfId="16" applyFont="1"/>
    <xf numFmtId="37" fontId="4" fillId="0" borderId="0" xfId="46" applyNumberFormat="1" applyFont="1"/>
    <xf numFmtId="164" fontId="4" fillId="0" borderId="0" xfId="46" applyNumberFormat="1" applyFont="1"/>
    <xf numFmtId="0" fontId="5" fillId="0" borderId="3" xfId="16" applyFont="1" applyBorder="1"/>
    <xf numFmtId="0" fontId="4" fillId="0" borderId="0" xfId="16"/>
    <xf numFmtId="164" fontId="4" fillId="0" borderId="0" xfId="47" applyNumberFormat="1" applyFont="1" applyFill="1"/>
    <xf numFmtId="0" fontId="4" fillId="0" borderId="0" xfId="46" applyFont="1" applyAlignment="1">
      <alignment horizontal="left" indent="1"/>
    </xf>
    <xf numFmtId="164" fontId="4" fillId="2" borderId="0" xfId="40" applyNumberFormat="1" applyFont="1" applyFill="1"/>
    <xf numFmtId="43" fontId="4" fillId="0" borderId="0" xfId="46" applyNumberFormat="1" applyFont="1"/>
    <xf numFmtId="0" fontId="4" fillId="0" borderId="0" xfId="16" applyAlignment="1">
      <alignment vertical="top" wrapText="1"/>
    </xf>
    <xf numFmtId="0" fontId="88" fillId="0" borderId="0" xfId="16" applyFont="1"/>
    <xf numFmtId="170" fontId="4" fillId="2" borderId="29" xfId="48" applyFont="1" applyFill="1" applyBorder="1" applyAlignment="1">
      <alignment vertical="top"/>
    </xf>
    <xf numFmtId="170" fontId="4" fillId="2" borderId="31" xfId="48" applyFont="1" applyFill="1" applyBorder="1" applyAlignment="1">
      <alignment wrapText="1"/>
    </xf>
    <xf numFmtId="164" fontId="4" fillId="2" borderId="21" xfId="23" applyNumberFormat="1" applyFill="1" applyBorder="1" applyAlignment="1">
      <alignment vertical="top" wrapText="1"/>
    </xf>
    <xf numFmtId="0" fontId="4" fillId="11" borderId="21" xfId="22" applyFill="1" applyBorder="1" applyAlignment="1">
      <alignment vertical="top" wrapText="1"/>
    </xf>
    <xf numFmtId="170" fontId="4" fillId="2" borderId="21" xfId="48" applyFont="1" applyFill="1" applyBorder="1" applyAlignment="1">
      <alignment wrapText="1"/>
    </xf>
    <xf numFmtId="0" fontId="4" fillId="11" borderId="21" xfId="22" applyFill="1" applyBorder="1" applyAlignment="1">
      <alignment wrapText="1"/>
    </xf>
    <xf numFmtId="0" fontId="4" fillId="0" borderId="27" xfId="16" applyBorder="1"/>
    <xf numFmtId="0" fontId="4" fillId="0" borderId="31" xfId="16" applyBorder="1"/>
    <xf numFmtId="0" fontId="4" fillId="0" borderId="21" xfId="16" applyBorder="1" applyAlignment="1">
      <alignment wrapText="1"/>
    </xf>
    <xf numFmtId="0" fontId="74" fillId="11" borderId="29" xfId="16" applyFont="1" applyFill="1" applyBorder="1"/>
    <xf numFmtId="0" fontId="4" fillId="11" borderId="31" xfId="16" applyFill="1" applyBorder="1"/>
    <xf numFmtId="0" fontId="4" fillId="0" borderId="21" xfId="16" applyBorder="1" applyAlignment="1">
      <alignment horizontal="left" indent="1"/>
    </xf>
    <xf numFmtId="0" fontId="88" fillId="0" borderId="21" xfId="16" applyFont="1" applyBorder="1"/>
    <xf numFmtId="0" fontId="4" fillId="0" borderId="21" xfId="46" applyFont="1" applyBorder="1"/>
    <xf numFmtId="41" fontId="4" fillId="0" borderId="21" xfId="46" applyNumberFormat="1" applyFont="1" applyBorder="1"/>
    <xf numFmtId="10" fontId="4" fillId="2" borderId="0" xfId="45" applyNumberFormat="1" applyFont="1" applyFill="1"/>
    <xf numFmtId="0" fontId="4" fillId="0" borderId="21" xfId="46" applyFont="1" applyBorder="1" applyAlignment="1">
      <alignment wrapText="1"/>
    </xf>
    <xf numFmtId="0" fontId="5" fillId="0" borderId="21" xfId="16" applyFont="1" applyBorder="1"/>
    <xf numFmtId="0" fontId="13" fillId="0" borderId="0" xfId="46" applyFont="1"/>
    <xf numFmtId="0" fontId="4" fillId="0" borderId="0" xfId="46" applyFont="1" applyAlignment="1">
      <alignment wrapText="1"/>
    </xf>
    <xf numFmtId="0" fontId="4" fillId="2" borderId="31" xfId="16" applyFill="1" applyBorder="1"/>
    <xf numFmtId="37" fontId="4" fillId="2" borderId="31" xfId="16" applyNumberFormat="1" applyFill="1" applyBorder="1"/>
    <xf numFmtId="37" fontId="4" fillId="2" borderId="21" xfId="16" applyNumberFormat="1" applyFill="1" applyBorder="1"/>
    <xf numFmtId="41" fontId="4" fillId="2" borderId="21" xfId="16" applyNumberFormat="1" applyFill="1" applyBorder="1"/>
    <xf numFmtId="0" fontId="4" fillId="2" borderId="21" xfId="16" applyFill="1" applyBorder="1" applyAlignment="1">
      <alignment wrapText="1"/>
    </xf>
    <xf numFmtId="0" fontId="74" fillId="11" borderId="26" xfId="16" applyFont="1" applyFill="1" applyBorder="1"/>
    <xf numFmtId="0" fontId="4" fillId="11" borderId="27" xfId="16" applyFill="1" applyBorder="1"/>
    <xf numFmtId="0" fontId="4" fillId="11" borderId="21" xfId="16" applyFill="1" applyBorder="1"/>
    <xf numFmtId="0" fontId="75" fillId="0" borderId="23" xfId="16" applyFont="1" applyBorder="1"/>
    <xf numFmtId="0" fontId="4" fillId="0" borderId="24" xfId="16" applyBorder="1"/>
    <xf numFmtId="0" fontId="13" fillId="0" borderId="29" xfId="46" applyFont="1" applyBorder="1"/>
    <xf numFmtId="0" fontId="4" fillId="0" borderId="31" xfId="46" applyFont="1" applyBorder="1"/>
    <xf numFmtId="0" fontId="4" fillId="0" borderId="33" xfId="16" applyBorder="1" applyAlignment="1">
      <alignment horizontal="left" indent="1"/>
    </xf>
    <xf numFmtId="0" fontId="88" fillId="0" borderId="33" xfId="16" applyFont="1" applyBorder="1"/>
    <xf numFmtId="0" fontId="4" fillId="0" borderId="0" xfId="16" applyAlignment="1">
      <alignment horizontal="left"/>
    </xf>
    <xf numFmtId="0" fontId="5" fillId="0" borderId="21" xfId="46" applyFont="1" applyBorder="1"/>
    <xf numFmtId="0" fontId="75" fillId="0" borderId="0" xfId="16" applyFont="1"/>
    <xf numFmtId="37" fontId="4" fillId="0" borderId="0" xfId="16" applyNumberFormat="1"/>
    <xf numFmtId="37" fontId="4" fillId="0" borderId="0" xfId="16" applyNumberFormat="1" applyAlignment="1">
      <alignment horizontal="center"/>
    </xf>
    <xf numFmtId="0" fontId="4" fillId="0" borderId="0" xfId="16" applyAlignment="1">
      <alignment horizontal="center"/>
    </xf>
    <xf numFmtId="0" fontId="4" fillId="0" borderId="0" xfId="16" applyAlignment="1">
      <alignment wrapText="1"/>
    </xf>
    <xf numFmtId="37" fontId="4" fillId="0" borderId="0" xfId="16" applyNumberFormat="1" applyAlignment="1">
      <alignment wrapText="1"/>
    </xf>
    <xf numFmtId="0" fontId="75" fillId="0" borderId="0" xfId="16" applyFont="1" applyAlignment="1">
      <alignment horizontal="left"/>
    </xf>
    <xf numFmtId="0" fontId="15" fillId="0" borderId="0" xfId="16" applyFont="1" applyAlignment="1">
      <alignment wrapText="1"/>
    </xf>
    <xf numFmtId="37" fontId="4" fillId="0" borderId="0" xfId="46" applyNumberFormat="1" applyFont="1" applyAlignment="1">
      <alignment horizontal="center"/>
    </xf>
    <xf numFmtId="0" fontId="4" fillId="0" borderId="0" xfId="46" applyFont="1" applyAlignment="1">
      <alignment horizontal="center"/>
    </xf>
    <xf numFmtId="0" fontId="7" fillId="0" borderId="0" xfId="46" applyFont="1"/>
    <xf numFmtId="0" fontId="4" fillId="2" borderId="29" xfId="16" applyFill="1" applyBorder="1"/>
    <xf numFmtId="0" fontId="4" fillId="2" borderId="21" xfId="16" applyFill="1" applyBorder="1" applyAlignment="1">
      <alignment vertical="top" wrapText="1"/>
    </xf>
    <xf numFmtId="0" fontId="5" fillId="0" borderId="0" xfId="16" applyFont="1" applyAlignment="1">
      <alignment horizontal="left"/>
    </xf>
    <xf numFmtId="0" fontId="5" fillId="0" borderId="0" xfId="46" applyFont="1" applyAlignment="1">
      <alignment horizontal="centerContinuous"/>
    </xf>
    <xf numFmtId="0" fontId="7" fillId="0" borderId="0" xfId="46" applyFont="1" applyAlignment="1">
      <alignment horizontal="centerContinuous"/>
    </xf>
    <xf numFmtId="0" fontId="4" fillId="0" borderId="0" xfId="46" applyFont="1" applyAlignment="1">
      <alignment horizontal="centerContinuous"/>
    </xf>
    <xf numFmtId="0" fontId="4" fillId="2" borderId="31" xfId="16" applyFill="1" applyBorder="1" applyAlignment="1">
      <alignment vertical="top"/>
    </xf>
    <xf numFmtId="37" fontId="4" fillId="2" borderId="21" xfId="16" applyNumberFormat="1" applyFill="1" applyBorder="1" applyAlignment="1">
      <alignment vertical="top"/>
    </xf>
    <xf numFmtId="0" fontId="4" fillId="0" borderId="21" xfId="16" applyBorder="1"/>
    <xf numFmtId="0" fontId="4" fillId="2" borderId="21" xfId="16" applyFill="1" applyBorder="1"/>
    <xf numFmtId="167" fontId="74" fillId="0" borderId="0" xfId="49" applyNumberFormat="1" applyFont="1" applyFill="1"/>
    <xf numFmtId="167" fontId="74" fillId="11" borderId="0" xfId="49" applyNumberFormat="1" applyFont="1" applyFill="1"/>
    <xf numFmtId="167" fontId="74" fillId="0" borderId="0" xfId="49" applyNumberFormat="1" applyFont="1"/>
    <xf numFmtId="167" fontId="75" fillId="0" borderId="30" xfId="49" applyNumberFormat="1" applyFont="1" applyBorder="1"/>
    <xf numFmtId="164" fontId="78" fillId="0" borderId="0" xfId="40" applyNumberFormat="1" applyFont="1" applyFill="1"/>
    <xf numFmtId="164" fontId="74" fillId="11" borderId="0" xfId="40" applyNumberFormat="1" applyFont="1" applyFill="1"/>
    <xf numFmtId="164" fontId="74" fillId="0" borderId="0" xfId="40" applyNumberFormat="1" applyFont="1" applyFill="1"/>
    <xf numFmtId="43" fontId="74" fillId="11" borderId="0" xfId="40" applyFont="1" applyFill="1"/>
    <xf numFmtId="43" fontId="74" fillId="0" borderId="0" xfId="40" applyFont="1" applyFill="1"/>
    <xf numFmtId="167" fontId="74" fillId="0" borderId="32" xfId="49" applyNumberFormat="1" applyFont="1" applyBorder="1"/>
    <xf numFmtId="167" fontId="74" fillId="0" borderId="1" xfId="49" applyNumberFormat="1" applyFont="1" applyBorder="1"/>
    <xf numFmtId="167" fontId="74" fillId="0" borderId="30" xfId="49" applyNumberFormat="1" applyFont="1" applyBorder="1"/>
    <xf numFmtId="167" fontId="74" fillId="0" borderId="2" xfId="49" applyNumberFormat="1" applyFont="1" applyBorder="1"/>
    <xf numFmtId="0" fontId="74" fillId="0" borderId="0" xfId="15"/>
    <xf numFmtId="0" fontId="74" fillId="0" borderId="0" xfId="15" applyAlignment="1">
      <alignment horizontal="center"/>
    </xf>
    <xf numFmtId="0" fontId="74" fillId="0" borderId="0" xfId="15" applyAlignment="1">
      <alignment horizontal="left"/>
    </xf>
    <xf numFmtId="0" fontId="92" fillId="0" borderId="0" xfId="15" applyFont="1"/>
    <xf numFmtId="0" fontId="92" fillId="0" borderId="0" xfId="15" applyFont="1" applyAlignment="1">
      <alignment horizontal="left"/>
    </xf>
    <xf numFmtId="0" fontId="95" fillId="0" borderId="0" xfId="15" applyFont="1"/>
    <xf numFmtId="0" fontId="92" fillId="0" borderId="0" xfId="15" applyFont="1" applyAlignment="1">
      <alignment horizontal="center"/>
    </xf>
    <xf numFmtId="0" fontId="4" fillId="0" borderId="0" xfId="15" applyFont="1"/>
    <xf numFmtId="0" fontId="80" fillId="0" borderId="0" xfId="15" applyFont="1" applyAlignment="1">
      <alignment horizontal="left"/>
    </xf>
    <xf numFmtId="0" fontId="80" fillId="0" borderId="0" xfId="15" applyFont="1" applyAlignment="1">
      <alignment horizontal="center" wrapText="1"/>
    </xf>
    <xf numFmtId="0" fontId="77" fillId="0" borderId="0" xfId="15" applyFont="1"/>
    <xf numFmtId="0" fontId="82" fillId="0" borderId="0" xfId="15" applyFont="1" applyAlignment="1">
      <alignment horizontal="left"/>
    </xf>
    <xf numFmtId="0" fontId="75" fillId="0" borderId="0" xfId="15" applyFont="1" applyAlignment="1">
      <alignment horizontal="left"/>
    </xf>
    <xf numFmtId="0" fontId="4" fillId="0" borderId="0" xfId="15" applyFont="1" applyAlignment="1">
      <alignment horizontal="left"/>
    </xf>
    <xf numFmtId="0" fontId="4" fillId="0" borderId="0" xfId="15" applyFont="1" applyAlignment="1">
      <alignment horizontal="center" vertical="center"/>
    </xf>
    <xf numFmtId="164" fontId="74" fillId="0" borderId="0" xfId="15" applyNumberFormat="1"/>
    <xf numFmtId="0" fontId="74" fillId="0" borderId="0" xfId="15" applyAlignment="1">
      <alignment horizontal="center" vertical="center"/>
    </xf>
    <xf numFmtId="3" fontId="8" fillId="0" borderId="3" xfId="0" applyNumberFormat="1" applyFont="1" applyBorder="1"/>
    <xf numFmtId="3" fontId="8" fillId="11" borderId="0" xfId="40" quotePrefix="1" applyNumberFormat="1" applyFont="1" applyFill="1" applyAlignment="1">
      <alignment horizontal="right"/>
    </xf>
    <xf numFmtId="3" fontId="8" fillId="11" borderId="3" xfId="40" quotePrefix="1" applyNumberFormat="1" applyFont="1" applyFill="1" applyBorder="1" applyAlignment="1">
      <alignment horizontal="right"/>
    </xf>
    <xf numFmtId="170" fontId="60" fillId="0" borderId="0" xfId="48" applyFont="1"/>
    <xf numFmtId="0" fontId="102" fillId="0" borderId="0" xfId="48" applyNumberFormat="1" applyFont="1" applyAlignment="1">
      <alignment horizontal="center"/>
    </xf>
    <xf numFmtId="0" fontId="60" fillId="0" borderId="0" xfId="48" applyNumberFormat="1" applyFont="1" applyAlignment="1">
      <alignment horizontal="center"/>
    </xf>
    <xf numFmtId="0" fontId="60" fillId="0" borderId="0" xfId="48" applyNumberFormat="1" applyFont="1" applyAlignment="1">
      <alignment vertical="top"/>
    </xf>
    <xf numFmtId="170" fontId="60" fillId="0" borderId="0" xfId="48" applyFont="1" applyAlignment="1">
      <alignment vertical="center" wrapText="1"/>
    </xf>
    <xf numFmtId="170" fontId="102" fillId="0" borderId="0" xfId="48" applyFont="1"/>
    <xf numFmtId="44" fontId="103" fillId="0" borderId="0" xfId="48" applyNumberFormat="1" applyFont="1"/>
    <xf numFmtId="170" fontId="103" fillId="0" borderId="0" xfId="48" applyFont="1" applyAlignment="1">
      <alignment horizontal="center"/>
    </xf>
    <xf numFmtId="0" fontId="103" fillId="0" borderId="0" xfId="48" applyNumberFormat="1" applyFont="1" applyAlignment="1">
      <alignment horizontal="center"/>
    </xf>
    <xf numFmtId="170" fontId="60" fillId="0" borderId="0" xfId="48" applyFont="1" applyAlignment="1">
      <alignment horizontal="center"/>
    </xf>
    <xf numFmtId="170" fontId="60" fillId="0" borderId="0" xfId="48" applyFont="1" applyAlignment="1">
      <alignment horizontal="right"/>
    </xf>
    <xf numFmtId="170" fontId="60" fillId="0" borderId="0" xfId="51" applyFont="1"/>
    <xf numFmtId="0" fontId="1" fillId="0" borderId="0" xfId="41"/>
    <xf numFmtId="0" fontId="60" fillId="0" borderId="0" xfId="52" applyFont="1"/>
    <xf numFmtId="164" fontId="60" fillId="0" borderId="2" xfId="25" applyNumberFormat="1" applyFont="1" applyFill="1" applyBorder="1"/>
    <xf numFmtId="43" fontId="60" fillId="0" borderId="2" xfId="25" applyFont="1" applyFill="1" applyBorder="1"/>
    <xf numFmtId="0" fontId="60" fillId="0" borderId="0" xfId="52" applyFont="1" applyAlignment="1">
      <alignment horizontal="left"/>
    </xf>
    <xf numFmtId="41" fontId="104" fillId="16" borderId="0" xfId="52" applyNumberFormat="1" applyFont="1" applyFill="1"/>
    <xf numFmtId="41" fontId="60" fillId="11" borderId="0" xfId="52" applyNumberFormat="1" applyFont="1" applyFill="1"/>
    <xf numFmtId="164" fontId="60" fillId="11" borderId="0" xfId="40" applyNumberFormat="1" applyFont="1" applyFill="1"/>
    <xf numFmtId="164" fontId="60" fillId="11" borderId="0" xfId="52" applyNumberFormat="1" applyFont="1" applyFill="1"/>
    <xf numFmtId="0" fontId="60" fillId="0" borderId="0" xfId="52" quotePrefix="1" applyFont="1" applyAlignment="1">
      <alignment horizontal="left"/>
    </xf>
    <xf numFmtId="0" fontId="105" fillId="0" borderId="0" xfId="53" applyFont="1" applyAlignment="1">
      <alignment horizontal="center" wrapText="1"/>
    </xf>
    <xf numFmtId="0" fontId="60" fillId="0" borderId="0" xfId="52" applyFont="1" applyAlignment="1">
      <alignment horizontal="center" wrapText="1"/>
    </xf>
    <xf numFmtId="3" fontId="60" fillId="0" borderId="0" xfId="54" applyNumberFormat="1" applyFont="1" applyAlignment="1">
      <alignment wrapText="1"/>
    </xf>
    <xf numFmtId="3" fontId="60" fillId="0" borderId="0" xfId="54" applyNumberFormat="1" applyFont="1" applyAlignment="1">
      <alignment horizontal="center" wrapText="1"/>
    </xf>
    <xf numFmtId="0" fontId="105" fillId="0" borderId="0" xfId="52" applyFont="1" applyAlignment="1">
      <alignment horizontal="center"/>
    </xf>
    <xf numFmtId="0" fontId="60" fillId="0" borderId="0" xfId="53" applyFont="1" applyAlignment="1">
      <alignment horizontal="center" wrapText="1"/>
    </xf>
    <xf numFmtId="37" fontId="60" fillId="0" borderId="0" xfId="25" applyNumberFormat="1" applyFont="1" applyFill="1" applyAlignment="1">
      <alignment horizontal="center" wrapText="1"/>
    </xf>
    <xf numFmtId="0" fontId="60" fillId="0" borderId="0" xfId="55" applyFont="1" applyAlignment="1">
      <alignment horizontal="left" wrapText="1"/>
    </xf>
    <xf numFmtId="0" fontId="105" fillId="0" borderId="0" xfId="52" applyFont="1" applyAlignment="1">
      <alignment horizontal="center" wrapText="1"/>
    </xf>
    <xf numFmtId="170" fontId="105" fillId="0" borderId="0" xfId="48" applyFont="1" applyAlignment="1">
      <alignment horizontal="center"/>
    </xf>
    <xf numFmtId="0" fontId="105" fillId="0" borderId="0" xfId="52" applyFont="1" applyAlignment="1">
      <alignment horizontal="centerContinuous"/>
    </xf>
    <xf numFmtId="0" fontId="105" fillId="0" borderId="0" xfId="52" applyFont="1" applyAlignment="1">
      <alignment horizontal="centerContinuous" wrapText="1"/>
    </xf>
    <xf numFmtId="37" fontId="60" fillId="0" borderId="0" xfId="52" applyNumberFormat="1" applyFont="1"/>
    <xf numFmtId="164" fontId="60" fillId="0" borderId="0" xfId="25" applyNumberFormat="1" applyFont="1" applyFill="1" applyBorder="1"/>
    <xf numFmtId="164" fontId="60" fillId="0" borderId="30" xfId="25" applyNumberFormat="1" applyFont="1" applyFill="1" applyBorder="1"/>
    <xf numFmtId="164" fontId="60" fillId="11" borderId="0" xfId="25" applyNumberFormat="1" applyFont="1" applyFill="1"/>
    <xf numFmtId="3" fontId="60" fillId="0" borderId="0" xfId="54" applyNumberFormat="1" applyFont="1" applyAlignment="1">
      <alignment horizontal="left" wrapText="1"/>
    </xf>
    <xf numFmtId="0" fontId="106" fillId="0" borderId="0" xfId="41" applyFont="1" applyAlignment="1">
      <alignment wrapText="1"/>
    </xf>
    <xf numFmtId="170" fontId="102" fillId="0" borderId="0" xfId="56" applyFont="1"/>
    <xf numFmtId="0" fontId="60" fillId="0" borderId="0" xfId="52" applyFont="1" applyAlignment="1">
      <alignment horizontal="center"/>
    </xf>
    <xf numFmtId="37" fontId="60" fillId="0" borderId="0" xfId="25" applyNumberFormat="1" applyFont="1" applyFill="1" applyAlignment="1">
      <alignment horizontal="center"/>
    </xf>
    <xf numFmtId="0" fontId="60" fillId="0" borderId="0" xfId="57" applyFont="1" applyAlignment="1">
      <alignment horizontal="left" wrapText="1"/>
    </xf>
    <xf numFmtId="0" fontId="60" fillId="0" borderId="0" xfId="56" applyNumberFormat="1" applyFont="1" applyAlignment="1">
      <alignment horizontal="center"/>
    </xf>
    <xf numFmtId="170" fontId="60" fillId="0" borderId="0" xfId="56" applyFont="1"/>
    <xf numFmtId="170" fontId="60" fillId="0" borderId="0" xfId="56" applyFont="1" applyAlignment="1">
      <alignment wrapText="1"/>
    </xf>
    <xf numFmtId="170" fontId="105" fillId="0" borderId="0" xfId="56" applyFont="1" applyAlignment="1">
      <alignment horizontal="center" wrapText="1"/>
    </xf>
    <xf numFmtId="0" fontId="60" fillId="0" borderId="0" xfId="56" applyNumberFormat="1" applyFont="1" applyAlignment="1">
      <alignment horizontal="center" wrapText="1"/>
    </xf>
    <xf numFmtId="0" fontId="105" fillId="0" borderId="0" xfId="52" applyFont="1"/>
    <xf numFmtId="0" fontId="60" fillId="0" borderId="0" xfId="52" applyFont="1" applyAlignment="1">
      <alignment horizontal="right"/>
    </xf>
    <xf numFmtId="0" fontId="102" fillId="0" borderId="0" xfId="56" applyNumberFormat="1" applyFont="1" applyAlignment="1">
      <alignment horizontal="center"/>
    </xf>
    <xf numFmtId="43" fontId="60" fillId="0" borderId="0" xfId="52" applyNumberFormat="1" applyFont="1" applyAlignment="1">
      <alignment horizontal="center"/>
    </xf>
    <xf numFmtId="170" fontId="60" fillId="0" borderId="0" xfId="48" applyFont="1" applyAlignment="1">
      <alignment wrapText="1"/>
    </xf>
    <xf numFmtId="170" fontId="105" fillId="0" borderId="0" xfId="48" applyFont="1" applyAlignment="1">
      <alignment horizontal="center" wrapText="1"/>
    </xf>
    <xf numFmtId="0" fontId="60" fillId="0" borderId="0" xfId="48" applyNumberFormat="1" applyFont="1" applyAlignment="1">
      <alignment horizontal="center" wrapText="1"/>
    </xf>
    <xf numFmtId="41" fontId="60" fillId="0" borderId="0" xfId="52" applyNumberFormat="1" applyFont="1"/>
    <xf numFmtId="170" fontId="14" fillId="0" borderId="0" xfId="60"/>
    <xf numFmtId="164" fontId="60" fillId="11" borderId="0" xfId="25" quotePrefix="1" applyNumberFormat="1" applyFont="1" applyFill="1" applyAlignment="1">
      <alignment horizontal="left"/>
    </xf>
    <xf numFmtId="0" fontId="60" fillId="0" borderId="0" xfId="52" quotePrefix="1" applyFont="1" applyAlignment="1">
      <alignment horizontal="center"/>
    </xf>
    <xf numFmtId="0" fontId="105" fillId="0" borderId="0" xfId="52" quotePrefix="1" applyFont="1" applyAlignment="1">
      <alignment horizontal="left"/>
    </xf>
    <xf numFmtId="164" fontId="60" fillId="0" borderId="0" xfId="25" quotePrefix="1" applyNumberFormat="1" applyFont="1" applyFill="1" applyAlignment="1">
      <alignment horizontal="left"/>
    </xf>
    <xf numFmtId="167" fontId="60" fillId="0" borderId="0" xfId="11" quotePrefix="1" applyNumberFormat="1" applyFont="1" applyFill="1" applyAlignment="1">
      <alignment horizontal="left"/>
    </xf>
    <xf numFmtId="0" fontId="105" fillId="0" borderId="0" xfId="52" quotePrefix="1" applyFont="1" applyAlignment="1">
      <alignment horizontal="center"/>
    </xf>
    <xf numFmtId="0" fontId="73" fillId="0" borderId="0" xfId="61" applyFont="1" applyAlignment="1">
      <alignment horizontal="center"/>
    </xf>
    <xf numFmtId="164" fontId="5" fillId="0" borderId="0" xfId="25" applyNumberFormat="1" applyFont="1" applyFill="1" applyAlignment="1"/>
    <xf numFmtId="0" fontId="46" fillId="0" borderId="0" xfId="44" applyFont="1"/>
    <xf numFmtId="164" fontId="4" fillId="0" borderId="0" xfId="25" applyNumberFormat="1" applyFont="1" applyFill="1" applyAlignment="1">
      <alignment horizontal="left"/>
    </xf>
    <xf numFmtId="164" fontId="0" fillId="0" borderId="0" xfId="25" applyNumberFormat="1" applyFont="1" applyAlignment="1"/>
    <xf numFmtId="39" fontId="60" fillId="11" borderId="0" xfId="25" quotePrefix="1" applyNumberFormat="1" applyFont="1" applyFill="1" applyAlignment="1">
      <alignment horizontal="left"/>
    </xf>
    <xf numFmtId="164" fontId="60" fillId="11" borderId="0" xfId="40" quotePrefix="1" applyNumberFormat="1" applyFont="1" applyFill="1" applyAlignment="1">
      <alignment horizontal="left"/>
    </xf>
    <xf numFmtId="0" fontId="108" fillId="0" borderId="0" xfId="61" applyFont="1"/>
    <xf numFmtId="0" fontId="108" fillId="0" borderId="0" xfId="61" applyFont="1" applyAlignment="1">
      <alignment horizontal="center"/>
    </xf>
    <xf numFmtId="167" fontId="60" fillId="0" borderId="0" xfId="26" quotePrefix="1" applyNumberFormat="1" applyFont="1" applyFill="1" applyAlignment="1">
      <alignment horizontal="left"/>
    </xf>
    <xf numFmtId="170" fontId="109" fillId="11" borderId="0" xfId="62" applyFont="1" applyFill="1"/>
    <xf numFmtId="10" fontId="60" fillId="11" borderId="0" xfId="45" applyNumberFormat="1" applyFont="1" applyFill="1" applyAlignment="1"/>
    <xf numFmtId="0" fontId="60" fillId="11" borderId="0" xfId="52" quotePrefix="1" applyFont="1" applyFill="1" applyAlignment="1">
      <alignment horizontal="center"/>
    </xf>
    <xf numFmtId="170" fontId="14" fillId="11" borderId="0" xfId="62" applyFill="1"/>
    <xf numFmtId="0" fontId="60" fillId="11" borderId="0" xfId="52" quotePrefix="1" applyFont="1" applyFill="1" applyAlignment="1">
      <alignment horizontal="left"/>
    </xf>
    <xf numFmtId="170" fontId="14" fillId="0" borderId="0" xfId="62"/>
    <xf numFmtId="164" fontId="14" fillId="0" borderId="0" xfId="40" applyNumberFormat="1" applyFont="1" applyAlignment="1"/>
    <xf numFmtId="170" fontId="109" fillId="11" borderId="0" xfId="60" applyFont="1" applyFill="1"/>
    <xf numFmtId="167" fontId="60" fillId="11" borderId="0" xfId="49" quotePrefix="1" applyNumberFormat="1" applyFont="1" applyFill="1" applyAlignment="1">
      <alignment horizontal="center"/>
    </xf>
    <xf numFmtId="164" fontId="109" fillId="11" borderId="0" xfId="40" applyNumberFormat="1" applyFont="1" applyFill="1" applyAlignment="1"/>
    <xf numFmtId="170" fontId="14" fillId="11" borderId="0" xfId="60" applyFill="1"/>
    <xf numFmtId="0" fontId="110" fillId="0" borderId="0" xfId="61" applyFont="1" applyAlignment="1">
      <alignment horizontal="center"/>
    </xf>
    <xf numFmtId="170" fontId="111" fillId="0" borderId="0" xfId="60" applyFont="1"/>
    <xf numFmtId="0" fontId="30" fillId="0" borderId="7" xfId="0" applyFont="1" applyBorder="1" applyAlignment="1">
      <alignment horizontal="left" wrapText="1"/>
    </xf>
    <xf numFmtId="0" fontId="27" fillId="0" borderId="0" xfId="0" applyFont="1" applyAlignment="1">
      <alignment horizontal="left"/>
    </xf>
    <xf numFmtId="0" fontId="8" fillId="0" borderId="3" xfId="0" applyFont="1" applyBorder="1" applyAlignment="1">
      <alignment horizontal="left"/>
    </xf>
    <xf numFmtId="37" fontId="74" fillId="11" borderId="0" xfId="0" applyNumberFormat="1" applyFont="1" applyFill="1" applyAlignment="1">
      <alignment horizontal="right" wrapText="1"/>
    </xf>
    <xf numFmtId="37" fontId="74" fillId="2" borderId="0" xfId="0" applyNumberFormat="1" applyFont="1" applyFill="1" applyAlignment="1">
      <alignment horizontal="right" wrapText="1"/>
    </xf>
    <xf numFmtId="41" fontId="4" fillId="2" borderId="0" xfId="0" applyNumberFormat="1" applyFont="1" applyFill="1" applyAlignment="1">
      <alignment horizontal="right" wrapText="1"/>
    </xf>
    <xf numFmtId="41" fontId="4" fillId="2" borderId="0" xfId="0" applyNumberFormat="1" applyFont="1" applyFill="1" applyAlignment="1">
      <alignment horizontal="right"/>
    </xf>
    <xf numFmtId="164" fontId="4" fillId="2" borderId="0" xfId="1" applyNumberFormat="1" applyFont="1" applyFill="1" applyAlignment="1">
      <alignment wrapText="1"/>
    </xf>
    <xf numFmtId="164" fontId="4" fillId="2" borderId="0" xfId="1" applyNumberFormat="1" applyFont="1" applyFill="1" applyAlignment="1">
      <alignment vertical="center" wrapText="1"/>
    </xf>
    <xf numFmtId="164" fontId="4" fillId="0" borderId="0" xfId="40" applyNumberFormat="1" applyFont="1" applyBorder="1" applyAlignment="1">
      <alignment horizontal="center"/>
    </xf>
    <xf numFmtId="0" fontId="26" fillId="0" borderId="16" xfId="0" applyFont="1" applyBorder="1" applyAlignment="1">
      <alignment horizontal="center" wrapText="1"/>
    </xf>
    <xf numFmtId="0" fontId="26" fillId="0" borderId="14" xfId="0" applyFont="1" applyBorder="1" applyAlignment="1">
      <alignment wrapText="1"/>
    </xf>
    <xf numFmtId="0" fontId="32" fillId="0" borderId="14" xfId="0" applyFont="1" applyBorder="1" applyAlignment="1">
      <alignment wrapText="1"/>
    </xf>
    <xf numFmtId="0" fontId="0" fillId="0" borderId="14" xfId="0" applyBorder="1"/>
    <xf numFmtId="0" fontId="0" fillId="0" borderId="15" xfId="0" applyBorder="1"/>
    <xf numFmtId="0" fontId="26" fillId="0" borderId="16" xfId="0" applyFont="1" applyBorder="1"/>
    <xf numFmtId="0" fontId="33" fillId="0" borderId="0" xfId="0" applyFont="1" applyAlignment="1">
      <alignment horizontal="left"/>
    </xf>
    <xf numFmtId="3" fontId="34" fillId="0" borderId="0" xfId="0" applyNumberFormat="1" applyFont="1" applyAlignment="1">
      <alignment horizontal="center"/>
    </xf>
    <xf numFmtId="3" fontId="33" fillId="0" borderId="7" xfId="0" applyNumberFormat="1" applyFont="1" applyBorder="1" applyAlignment="1">
      <alignment horizontal="center"/>
    </xf>
    <xf numFmtId="0" fontId="22" fillId="0" borderId="7" xfId="0" applyFont="1" applyBorder="1" applyAlignment="1">
      <alignment horizontal="left"/>
    </xf>
    <xf numFmtId="0" fontId="105" fillId="0" borderId="6" xfId="52" quotePrefix="1" applyFont="1" applyBorder="1" applyAlignment="1">
      <alignment horizontal="left" wrapText="1"/>
    </xf>
    <xf numFmtId="0" fontId="105" fillId="0" borderId="0" xfId="52" applyFont="1" applyAlignment="1">
      <alignment wrapText="1"/>
    </xf>
    <xf numFmtId="164" fontId="22" fillId="0" borderId="7" xfId="38" applyNumberFormat="1" applyFont="1" applyFill="1" applyBorder="1" applyAlignment="1">
      <alignment horizontal="left"/>
    </xf>
    <xf numFmtId="164" fontId="74" fillId="0" borderId="6" xfId="40" applyNumberFormat="1" applyFont="1" applyFill="1" applyBorder="1" applyAlignment="1">
      <alignment horizontal="center"/>
    </xf>
    <xf numFmtId="168" fontId="4" fillId="0" borderId="0" xfId="63" applyNumberFormat="1" applyFont="1" applyFill="1"/>
    <xf numFmtId="182" fontId="74" fillId="0" borderId="7" xfId="0" applyNumberFormat="1" applyFont="1" applyBorder="1"/>
    <xf numFmtId="9" fontId="27" fillId="0" borderId="6" xfId="63" applyFont="1" applyBorder="1" applyAlignment="1">
      <alignment horizontal="left"/>
    </xf>
    <xf numFmtId="167" fontId="0" fillId="0" borderId="0" xfId="8" applyNumberFormat="1" applyFont="1" applyFill="1"/>
    <xf numFmtId="164" fontId="74" fillId="0" borderId="0" xfId="40" applyNumberFormat="1" applyFont="1" applyFill="1" applyAlignment="1">
      <alignment horizontal="center"/>
    </xf>
    <xf numFmtId="9" fontId="27" fillId="0" borderId="6" xfId="63" applyFont="1" applyFill="1" applyBorder="1" applyAlignment="1">
      <alignment horizontal="left"/>
    </xf>
    <xf numFmtId="0" fontId="22" fillId="0" borderId="8" xfId="0" applyFont="1" applyBorder="1" applyAlignment="1">
      <alignment horizontal="center"/>
    </xf>
    <xf numFmtId="164" fontId="74" fillId="0" borderId="8" xfId="40" applyNumberFormat="1" applyFont="1" applyFill="1" applyBorder="1" applyAlignment="1">
      <alignment horizontal="center"/>
    </xf>
    <xf numFmtId="164" fontId="74" fillId="0" borderId="9" xfId="40" applyNumberFormat="1" applyFont="1" applyFill="1" applyBorder="1" applyAlignment="1">
      <alignment horizontal="center"/>
    </xf>
    <xf numFmtId="0" fontId="74" fillId="0" borderId="9" xfId="0" applyFont="1" applyBorder="1"/>
    <xf numFmtId="9" fontId="27" fillId="0" borderId="8" xfId="63" applyFont="1" applyFill="1" applyBorder="1" applyAlignment="1">
      <alignment horizontal="left"/>
    </xf>
    <xf numFmtId="164" fontId="33" fillId="0" borderId="7" xfId="1" applyNumberFormat="1" applyFont="1" applyBorder="1"/>
    <xf numFmtId="164" fontId="81" fillId="11" borderId="0" xfId="25" applyNumberFormat="1" applyFont="1" applyFill="1" applyBorder="1"/>
    <xf numFmtId="0" fontId="75" fillId="0" borderId="0" xfId="61" applyFont="1"/>
    <xf numFmtId="0" fontId="74" fillId="0" borderId="0" xfId="61" applyFont="1"/>
    <xf numFmtId="0" fontId="75" fillId="0" borderId="0" xfId="61" applyFont="1" applyAlignment="1">
      <alignment horizontal="center"/>
    </xf>
    <xf numFmtId="0" fontId="92" fillId="0" borderId="0" xfId="61" applyFont="1"/>
    <xf numFmtId="0" fontId="92" fillId="0" borderId="0" xfId="61" applyFont="1" applyAlignment="1">
      <alignment horizontal="center"/>
    </xf>
    <xf numFmtId="0" fontId="100" fillId="11" borderId="0" xfId="61" applyFont="1" applyFill="1"/>
    <xf numFmtId="0" fontId="92" fillId="11" borderId="0" xfId="61" applyFont="1" applyFill="1"/>
    <xf numFmtId="0" fontId="74" fillId="0" borderId="0" xfId="61" applyFont="1" applyAlignment="1">
      <alignment horizontal="center"/>
    </xf>
    <xf numFmtId="0" fontId="75" fillId="0" borderId="0" xfId="61" applyFont="1" applyAlignment="1">
      <alignment horizontal="center" vertical="center" wrapText="1"/>
    </xf>
    <xf numFmtId="0" fontId="75" fillId="0" borderId="34" xfId="61" applyFont="1" applyBorder="1" applyAlignment="1">
      <alignment horizontal="center" vertical="center"/>
    </xf>
    <xf numFmtId="0" fontId="74" fillId="0" borderId="3" xfId="61" applyFont="1" applyBorder="1" applyAlignment="1">
      <alignment horizontal="center" vertical="center"/>
    </xf>
    <xf numFmtId="0" fontId="74" fillId="0" borderId="33" xfId="61" applyFont="1" applyBorder="1" applyAlignment="1">
      <alignment horizontal="center" vertical="center" wrapText="1"/>
    </xf>
    <xf numFmtId="15" fontId="74" fillId="0" borderId="0" xfId="61" applyNumberFormat="1" applyFont="1" applyAlignment="1">
      <alignment horizontal="left" vertical="center" wrapText="1" indent="1"/>
    </xf>
    <xf numFmtId="15" fontId="74" fillId="0" borderId="3" xfId="61" applyNumberFormat="1" applyFont="1" applyBorder="1" applyAlignment="1">
      <alignment horizontal="left" vertical="center" wrapText="1" indent="1"/>
    </xf>
    <xf numFmtId="3" fontId="4" fillId="0" borderId="0" xfId="61" applyNumberFormat="1" applyFont="1"/>
    <xf numFmtId="0" fontId="74" fillId="0" borderId="1" xfId="61" applyFont="1" applyBorder="1" applyAlignment="1">
      <alignment vertical="center" wrapText="1"/>
    </xf>
    <xf numFmtId="0" fontId="74" fillId="0" borderId="1" xfId="61" applyFont="1" applyBorder="1" applyAlignment="1">
      <alignment horizontal="right" vertical="center" wrapText="1"/>
    </xf>
    <xf numFmtId="0" fontId="74" fillId="0" borderId="0" xfId="61" applyFont="1" applyAlignment="1">
      <alignment vertical="center" wrapText="1"/>
    </xf>
    <xf numFmtId="0" fontId="74" fillId="0" borderId="0" xfId="61" applyFont="1" applyAlignment="1">
      <alignment horizontal="right" vertical="center" wrapText="1"/>
    </xf>
    <xf numFmtId="0" fontId="74" fillId="0" borderId="0" xfId="61" applyFont="1" applyAlignment="1">
      <alignment horizontal="justify" vertical="center" wrapText="1"/>
    </xf>
    <xf numFmtId="0" fontId="74" fillId="0" borderId="0" xfId="61" quotePrefix="1" applyFont="1" applyAlignment="1">
      <alignment vertical="center"/>
    </xf>
    <xf numFmtId="0" fontId="78" fillId="11" borderId="0" xfId="61" applyFont="1" applyFill="1" applyAlignment="1">
      <alignment vertical="center" wrapText="1"/>
    </xf>
    <xf numFmtId="0" fontId="74" fillId="0" borderId="0" xfId="61" applyFont="1" applyAlignment="1">
      <alignment horizontal="right" vertical="center"/>
    </xf>
    <xf numFmtId="0" fontId="75" fillId="0" borderId="0" xfId="61" applyFont="1" applyAlignment="1">
      <alignment vertical="center"/>
    </xf>
    <xf numFmtId="0" fontId="75" fillId="0" borderId="3" xfId="61" quotePrefix="1" applyFont="1" applyBorder="1" applyAlignment="1">
      <alignment vertical="center"/>
    </xf>
    <xf numFmtId="0" fontId="75" fillId="0" borderId="3" xfId="61" applyFont="1" applyBorder="1" applyAlignment="1">
      <alignment vertical="center"/>
    </xf>
    <xf numFmtId="43" fontId="74" fillId="0" borderId="0" xfId="61" applyNumberFormat="1" applyFont="1"/>
    <xf numFmtId="41" fontId="74" fillId="0" borderId="0" xfId="61" applyNumberFormat="1" applyFont="1"/>
    <xf numFmtId="0" fontId="80" fillId="14" borderId="0" xfId="61" applyFont="1" applyFill="1"/>
    <xf numFmtId="0" fontId="80" fillId="14" borderId="0" xfId="61" applyFont="1" applyFill="1" applyAlignment="1">
      <alignment horizontal="center"/>
    </xf>
    <xf numFmtId="0" fontId="79" fillId="11" borderId="0" xfId="61" applyFont="1" applyFill="1"/>
    <xf numFmtId="0" fontId="79" fillId="0" borderId="0" xfId="61" applyFont="1" applyAlignment="1">
      <alignment vertical="center" wrapText="1"/>
    </xf>
    <xf numFmtId="0" fontId="4" fillId="11" borderId="29" xfId="61" applyFont="1" applyFill="1" applyBorder="1" applyAlignment="1">
      <alignment vertical="top"/>
    </xf>
    <xf numFmtId="0" fontId="4" fillId="11" borderId="31" xfId="61" applyFont="1" applyFill="1" applyBorder="1" applyAlignment="1">
      <alignment vertical="top"/>
    </xf>
    <xf numFmtId="164" fontId="4" fillId="2" borderId="21" xfId="40" applyNumberFormat="1" applyFont="1" applyFill="1" applyBorder="1"/>
    <xf numFmtId="41" fontId="4" fillId="0" borderId="21" xfId="61" applyNumberFormat="1" applyFont="1" applyBorder="1"/>
    <xf numFmtId="41" fontId="4" fillId="11" borderId="21" xfId="61" applyNumberFormat="1" applyFont="1" applyFill="1" applyBorder="1"/>
    <xf numFmtId="41" fontId="4" fillId="2" borderId="21" xfId="61" applyNumberFormat="1" applyFont="1" applyFill="1" applyBorder="1"/>
    <xf numFmtId="0" fontId="4" fillId="2" borderId="29" xfId="61" applyFont="1" applyFill="1" applyBorder="1"/>
    <xf numFmtId="0" fontId="4" fillId="2" borderId="21" xfId="61" applyFont="1" applyFill="1" applyBorder="1" applyAlignment="1">
      <alignment wrapText="1"/>
    </xf>
    <xf numFmtId="0" fontId="4" fillId="11" borderId="29" xfId="27" applyFill="1" applyBorder="1" applyAlignment="1">
      <alignment vertical="top"/>
    </xf>
    <xf numFmtId="164" fontId="4" fillId="11" borderId="21" xfId="23" applyNumberFormat="1" applyFont="1" applyFill="1" applyBorder="1" applyAlignment="1">
      <alignment vertical="top"/>
    </xf>
    <xf numFmtId="164" fontId="4" fillId="2" borderId="21" xfId="23" applyNumberFormat="1" applyFont="1" applyFill="1" applyBorder="1"/>
    <xf numFmtId="0" fontId="4" fillId="11" borderId="21" xfId="61" applyFont="1" applyFill="1" applyBorder="1" applyAlignment="1">
      <alignment horizontal="left" wrapText="1"/>
    </xf>
    <xf numFmtId="0" fontId="27" fillId="11" borderId="21" xfId="61" applyFont="1" applyFill="1" applyBorder="1"/>
    <xf numFmtId="0" fontId="4" fillId="2" borderId="21" xfId="61" applyFont="1" applyFill="1" applyBorder="1" applyAlignment="1">
      <alignment vertical="top" wrapText="1"/>
    </xf>
    <xf numFmtId="0" fontId="4" fillId="2" borderId="29" xfId="61" applyFont="1" applyFill="1" applyBorder="1" applyAlignment="1">
      <alignment vertical="top"/>
    </xf>
    <xf numFmtId="41" fontId="4" fillId="2" borderId="21" xfId="61" applyNumberFormat="1" applyFont="1" applyFill="1" applyBorder="1" applyAlignment="1">
      <alignment vertical="top"/>
    </xf>
    <xf numFmtId="0" fontId="20" fillId="3" borderId="0" xfId="61" applyFont="1" applyFill="1" applyAlignment="1">
      <alignment horizontal="left"/>
    </xf>
    <xf numFmtId="0" fontId="8" fillId="3" borderId="0" xfId="61" applyFont="1" applyFill="1" applyAlignment="1">
      <alignment horizontal="center"/>
    </xf>
    <xf numFmtId="0" fontId="8" fillId="3" borderId="0" xfId="61" applyFont="1" applyFill="1"/>
    <xf numFmtId="3" fontId="8" fillId="3" borderId="0" xfId="61" applyNumberFormat="1" applyFont="1" applyFill="1" applyAlignment="1">
      <alignment horizontal="center"/>
    </xf>
    <xf numFmtId="0" fontId="8" fillId="0" borderId="0" xfId="61" applyFont="1"/>
    <xf numFmtId="0" fontId="94" fillId="0" borderId="0" xfId="61" applyFont="1"/>
    <xf numFmtId="0" fontId="74" fillId="0" borderId="0" xfId="61" applyFont="1" applyAlignment="1">
      <alignment vertical="center"/>
    </xf>
    <xf numFmtId="0" fontId="75" fillId="0" borderId="26" xfId="61" applyFont="1" applyBorder="1" applyAlignment="1">
      <alignment vertical="center"/>
    </xf>
    <xf numFmtId="0" fontId="74" fillId="0" borderId="27" xfId="61" applyFont="1" applyBorder="1" applyAlignment="1">
      <alignment vertical="center" wrapText="1"/>
    </xf>
    <xf numFmtId="0" fontId="75" fillId="0" borderId="26" xfId="61" applyFont="1" applyBorder="1" applyAlignment="1">
      <alignment horizontal="left" vertical="center" indent="1"/>
    </xf>
    <xf numFmtId="0" fontId="74" fillId="0" borderId="27" xfId="61" applyFont="1" applyBorder="1"/>
    <xf numFmtId="0" fontId="75" fillId="0" borderId="21" xfId="61" applyFont="1" applyBorder="1" applyAlignment="1">
      <alignment horizontal="center" wrapText="1"/>
    </xf>
    <xf numFmtId="0" fontId="75" fillId="0" borderId="29" xfId="61" applyFont="1" applyBorder="1" applyAlignment="1">
      <alignment vertical="center"/>
    </xf>
    <xf numFmtId="0" fontId="74" fillId="0" borderId="31" xfId="61" applyFont="1" applyBorder="1" applyAlignment="1">
      <alignment vertical="center" wrapText="1"/>
    </xf>
    <xf numFmtId="0" fontId="75" fillId="0" borderId="29" xfId="61" applyFont="1" applyBorder="1" applyAlignment="1">
      <alignment horizontal="left" vertical="center" indent="1"/>
    </xf>
    <xf numFmtId="0" fontId="74" fillId="0" borderId="31" xfId="61" applyFont="1" applyBorder="1"/>
    <xf numFmtId="0" fontId="74" fillId="0" borderId="0" xfId="61" applyFont="1" applyAlignment="1">
      <alignment horizontal="left" indent="1"/>
    </xf>
    <xf numFmtId="3" fontId="4" fillId="0" borderId="0" xfId="61" applyNumberFormat="1" applyFont="1" applyAlignment="1">
      <alignment horizontal="left" indent="1"/>
    </xf>
    <xf numFmtId="164" fontId="74" fillId="11" borderId="0" xfId="61" applyNumberFormat="1" applyFont="1" applyFill="1"/>
    <xf numFmtId="0" fontId="5" fillId="0" borderId="0" xfId="61" applyFont="1" applyAlignment="1">
      <alignment horizontal="left"/>
    </xf>
    <xf numFmtId="3" fontId="4" fillId="0" borderId="0" xfId="61" applyNumberFormat="1" applyFont="1" applyAlignment="1">
      <alignment horizontal="left"/>
    </xf>
    <xf numFmtId="0" fontId="76" fillId="0" borderId="0" xfId="61" applyFont="1" applyAlignment="1">
      <alignment horizontal="left"/>
    </xf>
    <xf numFmtId="0" fontId="74" fillId="0" borderId="0" xfId="61" quotePrefix="1" applyFont="1"/>
    <xf numFmtId="0" fontId="74" fillId="11" borderId="0" xfId="61" quotePrefix="1" applyFont="1" applyFill="1"/>
    <xf numFmtId="0" fontId="74" fillId="0" borderId="0" xfId="61" applyFont="1" applyAlignment="1">
      <alignment horizontal="center" vertical="center"/>
    </xf>
    <xf numFmtId="0" fontId="74" fillId="0" borderId="3" xfId="61" quotePrefix="1" applyFont="1" applyBorder="1" applyAlignment="1">
      <alignment horizontal="center" vertical="center" wrapText="1"/>
    </xf>
    <xf numFmtId="164" fontId="74" fillId="0" borderId="0" xfId="61" applyNumberFormat="1" applyFont="1"/>
    <xf numFmtId="164" fontId="75" fillId="0" borderId="3" xfId="61" applyNumberFormat="1" applyFont="1" applyBorder="1"/>
    <xf numFmtId="164" fontId="74" fillId="0" borderId="0" xfId="61" applyNumberFormat="1" applyFont="1" applyAlignment="1">
      <alignment horizontal="center"/>
    </xf>
    <xf numFmtId="42" fontId="74" fillId="0" borderId="0" xfId="61" applyNumberFormat="1" applyFont="1"/>
    <xf numFmtId="167" fontId="74" fillId="0" borderId="0" xfId="61" applyNumberFormat="1" applyFont="1"/>
    <xf numFmtId="0" fontId="74" fillId="0" borderId="3" xfId="61" applyFont="1" applyBorder="1"/>
    <xf numFmtId="44" fontId="74" fillId="0" borderId="0" xfId="61" applyNumberFormat="1" applyFont="1"/>
    <xf numFmtId="15" fontId="74" fillId="0" borderId="0" xfId="61" quotePrefix="1" applyNumberFormat="1" applyFont="1"/>
    <xf numFmtId="0" fontId="79" fillId="0" borderId="0" xfId="61" applyFont="1"/>
    <xf numFmtId="0" fontId="96" fillId="14" borderId="0" xfId="61" applyFont="1" applyFill="1"/>
    <xf numFmtId="0" fontId="4" fillId="0" borderId="0" xfId="61" applyFont="1"/>
    <xf numFmtId="0" fontId="75" fillId="0" borderId="3" xfId="61" applyFont="1" applyBorder="1" applyAlignment="1">
      <alignment horizontal="center" wrapText="1"/>
    </xf>
    <xf numFmtId="0" fontId="75" fillId="0" borderId="3" xfId="61" applyFont="1" applyBorder="1" applyAlignment="1">
      <alignment horizontal="left" wrapText="1"/>
    </xf>
    <xf numFmtId="0" fontId="75" fillId="0" borderId="0" xfId="61" applyFont="1" applyAlignment="1">
      <alignment horizontal="left" wrapText="1" indent="1"/>
    </xf>
    <xf numFmtId="0" fontId="75" fillId="0" borderId="0" xfId="61" applyFont="1" applyAlignment="1">
      <alignment horizontal="center" wrapText="1"/>
    </xf>
    <xf numFmtId="0" fontId="75" fillId="0" borderId="0" xfId="61" applyFont="1" applyAlignment="1">
      <alignment horizontal="left" wrapText="1"/>
    </xf>
    <xf numFmtId="0" fontId="83" fillId="0" borderId="0" xfId="61" applyFont="1"/>
    <xf numFmtId="0" fontId="74" fillId="11" borderId="0" xfId="61" applyFont="1" applyFill="1"/>
    <xf numFmtId="42" fontId="74" fillId="11" borderId="0" xfId="23" applyNumberFormat="1" applyFont="1" applyFill="1" applyBorder="1"/>
    <xf numFmtId="42" fontId="74" fillId="0" borderId="0" xfId="23" applyNumberFormat="1" applyFont="1" applyFill="1" applyBorder="1"/>
    <xf numFmtId="164" fontId="4" fillId="0" borderId="0" xfId="39" applyNumberFormat="1" applyFont="1" applyFill="1" applyBorder="1" applyProtection="1">
      <protection locked="0"/>
    </xf>
    <xf numFmtId="164" fontId="4" fillId="0" borderId="0" xfId="39" applyNumberFormat="1" applyFont="1" applyFill="1" applyProtection="1"/>
    <xf numFmtId="168" fontId="4" fillId="0" borderId="0" xfId="50" applyNumberFormat="1" applyFont="1" applyFill="1" applyProtection="1"/>
    <xf numFmtId="164" fontId="74" fillId="11" borderId="0" xfId="23" applyNumberFormat="1" applyFont="1" applyFill="1" applyBorder="1"/>
    <xf numFmtId="164" fontId="74" fillId="0" borderId="0" xfId="23" applyNumberFormat="1" applyFont="1" applyFill="1" applyBorder="1"/>
    <xf numFmtId="164" fontId="4" fillId="0" borderId="0" xfId="23" applyNumberFormat="1" applyFont="1" applyFill="1" applyBorder="1" applyProtection="1">
      <protection locked="0"/>
    </xf>
    <xf numFmtId="164" fontId="74" fillId="0" borderId="0" xfId="23" applyNumberFormat="1" applyFont="1" applyFill="1" applyProtection="1"/>
    <xf numFmtId="164" fontId="75" fillId="0" borderId="0" xfId="61" applyNumberFormat="1" applyFont="1"/>
    <xf numFmtId="42" fontId="75" fillId="0" borderId="1" xfId="23" applyNumberFormat="1" applyFont="1" applyFill="1" applyBorder="1"/>
    <xf numFmtId="0" fontId="112" fillId="0" borderId="0" xfId="61" applyFont="1"/>
    <xf numFmtId="42" fontId="75" fillId="0" borderId="2" xfId="61" applyNumberFormat="1" applyFont="1" applyBorder="1"/>
    <xf numFmtId="164" fontId="74" fillId="0" borderId="0" xfId="61" applyNumberFormat="1" applyFont="1" applyAlignment="1">
      <alignment horizontal="right"/>
    </xf>
    <xf numFmtId="167" fontId="74" fillId="0" borderId="0" xfId="11" applyNumberFormat="1" applyFont="1" applyFill="1"/>
    <xf numFmtId="0" fontId="74" fillId="0" borderId="0" xfId="61" applyFont="1" applyAlignment="1">
      <alignment horizontal="right"/>
    </xf>
    <xf numFmtId="164" fontId="74" fillId="0" borderId="0" xfId="23" applyNumberFormat="1" applyFont="1" applyFill="1"/>
    <xf numFmtId="0" fontId="75" fillId="0" borderId="0" xfId="61" applyFont="1" applyAlignment="1">
      <alignment horizontal="right"/>
    </xf>
    <xf numFmtId="167" fontId="74" fillId="0" borderId="1" xfId="11" applyNumberFormat="1" applyFont="1" applyFill="1" applyBorder="1"/>
    <xf numFmtId="0" fontId="75" fillId="0" borderId="0" xfId="61" applyFont="1" applyAlignment="1">
      <alignment horizontal="left"/>
    </xf>
    <xf numFmtId="167" fontId="74" fillId="0" borderId="2" xfId="11" applyNumberFormat="1" applyFont="1" applyFill="1" applyBorder="1"/>
    <xf numFmtId="0" fontId="79" fillId="0" borderId="0" xfId="61" applyFont="1" applyAlignment="1">
      <alignment vertical="top" wrapText="1"/>
    </xf>
    <xf numFmtId="0" fontId="87" fillId="3" borderId="0" xfId="61" applyFont="1" applyFill="1" applyAlignment="1">
      <alignment horizontal="left"/>
    </xf>
    <xf numFmtId="0" fontId="4" fillId="3" borderId="0" xfId="61" applyFont="1" applyFill="1" applyAlignment="1">
      <alignment horizontal="center"/>
    </xf>
    <xf numFmtId="0" fontId="4" fillId="3" borderId="0" xfId="61" applyFont="1" applyFill="1"/>
    <xf numFmtId="3" fontId="4" fillId="3" borderId="0" xfId="61" applyNumberFormat="1" applyFont="1" applyFill="1" applyAlignment="1">
      <alignment horizontal="center"/>
    </xf>
    <xf numFmtId="0" fontId="81" fillId="13" borderId="6" xfId="0" applyFont="1" applyFill="1" applyBorder="1" applyAlignment="1">
      <alignment horizontal="center"/>
    </xf>
    <xf numFmtId="0" fontId="81" fillId="13" borderId="0" xfId="0" applyFont="1" applyFill="1" applyAlignment="1">
      <alignment horizontal="center"/>
    </xf>
    <xf numFmtId="0" fontId="81" fillId="13" borderId="0" xfId="0" applyFont="1" applyFill="1" applyAlignment="1">
      <alignment horizontal="left"/>
    </xf>
    <xf numFmtId="2" fontId="81" fillId="13" borderId="0" xfId="0" applyNumberFormat="1" applyFont="1" applyFill="1" applyAlignment="1">
      <alignment horizontal="center"/>
    </xf>
    <xf numFmtId="164" fontId="81" fillId="13" borderId="0" xfId="0" applyNumberFormat="1" applyFont="1" applyFill="1"/>
    <xf numFmtId="0" fontId="52" fillId="13" borderId="0" xfId="0" applyFont="1" applyFill="1" applyAlignment="1">
      <alignment horizontal="center"/>
    </xf>
    <xf numFmtId="0" fontId="52" fillId="13" borderId="0" xfId="0" applyFont="1" applyFill="1" applyAlignment="1">
      <alignment horizontal="left"/>
    </xf>
    <xf numFmtId="1" fontId="81" fillId="13" borderId="0" xfId="0" applyNumberFormat="1" applyFont="1" applyFill="1" applyAlignment="1">
      <alignment horizontal="center"/>
    </xf>
    <xf numFmtId="37" fontId="81" fillId="13" borderId="0" xfId="0" applyNumberFormat="1" applyFont="1" applyFill="1"/>
    <xf numFmtId="0" fontId="81" fillId="13" borderId="0" xfId="0" applyFont="1" applyFill="1"/>
    <xf numFmtId="0" fontId="81" fillId="13" borderId="28" xfId="0" applyFont="1" applyFill="1" applyBorder="1" applyAlignment="1">
      <alignment horizontal="left"/>
    </xf>
    <xf numFmtId="0" fontId="52" fillId="13" borderId="3" xfId="0" applyFont="1" applyFill="1" applyBorder="1" applyAlignment="1">
      <alignment horizontal="left"/>
    </xf>
    <xf numFmtId="0" fontId="52" fillId="13" borderId="3" xfId="0" applyFont="1" applyFill="1" applyBorder="1" applyAlignment="1">
      <alignment horizontal="center"/>
    </xf>
    <xf numFmtId="0" fontId="93" fillId="13" borderId="0" xfId="0" applyFont="1" applyFill="1" applyAlignment="1">
      <alignment horizontal="left"/>
    </xf>
    <xf numFmtId="10" fontId="81" fillId="11" borderId="0" xfId="24" applyNumberFormat="1" applyFont="1" applyFill="1" applyBorder="1" applyAlignment="1"/>
    <xf numFmtId="0" fontId="52" fillId="13" borderId="0" xfId="0" applyFont="1" applyFill="1" applyAlignment="1">
      <alignment horizontal="left" vertical="top"/>
    </xf>
    <xf numFmtId="0" fontId="93" fillId="13" borderId="6" xfId="0" applyFont="1" applyFill="1" applyBorder="1" applyAlignment="1">
      <alignment horizontal="left"/>
    </xf>
    <xf numFmtId="0" fontId="81" fillId="13" borderId="6" xfId="0" applyFont="1" applyFill="1" applyBorder="1" applyAlignment="1">
      <alignment horizontal="left" vertical="center"/>
    </xf>
    <xf numFmtId="0" fontId="105" fillId="0" borderId="0" xfId="52" quotePrefix="1" applyFont="1" applyAlignment="1">
      <alignment horizontal="center" wrapText="1"/>
    </xf>
    <xf numFmtId="0" fontId="30" fillId="0" borderId="0" xfId="0" applyFont="1"/>
    <xf numFmtId="3" fontId="8" fillId="11" borderId="0" xfId="0" applyNumberFormat="1" applyFont="1" applyFill="1" applyAlignment="1">
      <alignment horizontal="right"/>
    </xf>
    <xf numFmtId="0" fontId="106" fillId="0" borderId="0" xfId="41" applyFont="1" applyAlignment="1">
      <alignment horizontal="center" wrapText="1"/>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94" fillId="0" borderId="0" xfId="61" applyFont="1" applyAlignment="1">
      <alignment horizontal="center"/>
    </xf>
    <xf numFmtId="0" fontId="74" fillId="0" borderId="0" xfId="61" applyFont="1" applyAlignment="1">
      <alignment horizontal="left" vertical="top" wrapText="1"/>
    </xf>
    <xf numFmtId="0" fontId="75" fillId="0" borderId="0" xfId="61" applyFont="1" applyAlignment="1">
      <alignment horizontal="left" vertical="center" indent="1"/>
    </xf>
    <xf numFmtId="0" fontId="74" fillId="0" borderId="0" xfId="61" applyFont="1" applyAlignment="1">
      <alignment horizontal="center" vertical="center" wrapText="1"/>
    </xf>
    <xf numFmtId="0" fontId="74" fillId="0" borderId="3" xfId="61" applyFont="1" applyBorder="1" applyAlignment="1">
      <alignment horizontal="center" wrapText="1"/>
    </xf>
    <xf numFmtId="0" fontId="4" fillId="0" borderId="0" xfId="61" applyFont="1" applyAlignment="1">
      <alignment horizontal="left" vertical="top" wrapText="1"/>
    </xf>
    <xf numFmtId="0" fontId="4" fillId="0" borderId="0" xfId="0" applyFont="1" applyAlignment="1">
      <alignment horizontal="center"/>
    </xf>
    <xf numFmtId="0" fontId="8" fillId="0" borderId="0" xfId="0" applyNumberFormat="1" applyFont="1" applyFill="1" applyAlignment="1">
      <alignment vertical="top" wrapText="1"/>
    </xf>
    <xf numFmtId="16" fontId="47" fillId="0" borderId="0" xfId="0" applyNumberFormat="1" applyFont="1" applyFill="1" applyAlignment="1">
      <alignment horizontal="center"/>
    </xf>
    <xf numFmtId="0" fontId="47" fillId="0" borderId="0" xfId="0" applyFont="1" applyFill="1" applyAlignment="1">
      <alignment horizontal="center" vertical="top"/>
    </xf>
    <xf numFmtId="0" fontId="47" fillId="0" borderId="0" xfId="0" applyFont="1" applyFill="1" applyBorder="1" applyAlignment="1">
      <alignment horizontal="center"/>
    </xf>
    <xf numFmtId="164" fontId="47" fillId="0" borderId="0" xfId="0" applyNumberFormat="1" applyFont="1" applyFill="1" applyAlignment="1">
      <alignment horizontal="left"/>
    </xf>
    <xf numFmtId="0" fontId="47" fillId="0" borderId="0" xfId="0" quotePrefix="1" applyFont="1" applyFill="1"/>
    <xf numFmtId="2" fontId="47" fillId="0" borderId="0" xfId="0" applyNumberFormat="1" applyFont="1" applyFill="1"/>
    <xf numFmtId="37" fontId="47" fillId="11" borderId="0" xfId="0" applyNumberFormat="1" applyFont="1" applyFill="1"/>
    <xf numFmtId="0" fontId="47" fillId="11" borderId="3" xfId="0" applyFont="1" applyFill="1" applyBorder="1" applyAlignment="1">
      <alignment horizontal="center"/>
    </xf>
    <xf numFmtId="0" fontId="47" fillId="11" borderId="0" xfId="0" applyFont="1" applyFill="1"/>
    <xf numFmtId="164" fontId="47" fillId="11" borderId="0" xfId="1" applyNumberFormat="1" applyFont="1" applyFill="1"/>
    <xf numFmtId="164" fontId="47" fillId="0" borderId="0" xfId="1" applyNumberFormat="1" applyFont="1" applyFill="1" applyAlignment="1">
      <alignment horizontal="right"/>
    </xf>
    <xf numFmtId="0" fontId="47" fillId="0" borderId="0" xfId="0" applyFont="1" applyAlignment="1">
      <alignment horizontal="left" vertical="top"/>
    </xf>
    <xf numFmtId="0" fontId="47" fillId="0" borderId="0" xfId="9" applyNumberFormat="1" applyFont="1" applyFill="1" applyAlignment="1">
      <alignment horizontal="left"/>
    </xf>
    <xf numFmtId="0" fontId="47" fillId="0" borderId="0" xfId="9" applyFont="1" applyFill="1" applyAlignment="1">
      <alignment horizontal="center"/>
    </xf>
    <xf numFmtId="0" fontId="72" fillId="0" borderId="0" xfId="9" applyFill="1"/>
    <xf numFmtId="3" fontId="8" fillId="0" borderId="0" xfId="0" applyNumberFormat="1" applyFont="1" applyFill="1" applyAlignment="1">
      <alignment wrapText="1"/>
    </xf>
    <xf numFmtId="0" fontId="4" fillId="11" borderId="21" xfId="0" applyFont="1" applyFill="1" applyBorder="1" applyAlignment="1">
      <alignment horizontal="left" wrapText="1"/>
    </xf>
    <xf numFmtId="0" fontId="29" fillId="13" borderId="0" xfId="0" applyFont="1" applyFill="1" applyAlignment="1">
      <alignment horizontal="left" indent="1"/>
    </xf>
    <xf numFmtId="0" fontId="29" fillId="0" borderId="0" xfId="0" applyFont="1" applyAlignment="1">
      <alignment horizontal="left"/>
    </xf>
    <xf numFmtId="0" fontId="16" fillId="0" borderId="0" xfId="0" applyFont="1" applyAlignment="1">
      <alignment horizontal="center"/>
    </xf>
    <xf numFmtId="0" fontId="6" fillId="0" borderId="0" xfId="0" applyFont="1" applyAlignment="1">
      <alignment horizontal="center"/>
    </xf>
    <xf numFmtId="0" fontId="8" fillId="0" borderId="0" xfId="0" applyFont="1" applyAlignment="1">
      <alignment horizontal="center"/>
    </xf>
    <xf numFmtId="0" fontId="66" fillId="4" borderId="0" xfId="0" applyFont="1" applyFill="1" applyAlignment="1">
      <alignment horizontal="center"/>
    </xf>
    <xf numFmtId="0" fontId="10" fillId="0" borderId="0" xfId="0" applyFont="1" applyAlignment="1">
      <alignment horizontal="left"/>
    </xf>
    <xf numFmtId="3" fontId="8" fillId="0" borderId="1" xfId="0" applyNumberFormat="1" applyFont="1" applyBorder="1"/>
    <xf numFmtId="3" fontId="8" fillId="0" borderId="2" xfId="0" applyNumberFormat="1" applyFont="1" applyBorder="1"/>
    <xf numFmtId="0" fontId="10" fillId="0" borderId="0" xfId="0" applyFont="1" applyAlignment="1">
      <alignment horizontal="center"/>
    </xf>
    <xf numFmtId="0" fontId="19" fillId="0" borderId="0" xfId="0" applyFont="1" applyAlignment="1">
      <alignment horizontal="center"/>
    </xf>
    <xf numFmtId="0" fontId="20" fillId="0" borderId="0" xfId="0" applyFont="1"/>
    <xf numFmtId="0" fontId="8" fillId="0" borderId="0" xfId="0" applyFont="1" applyAlignment="1">
      <alignment horizontal="center" vertical="top"/>
    </xf>
    <xf numFmtId="0" fontId="6" fillId="0" borderId="0" xfId="0" applyFont="1" applyAlignment="1">
      <alignment horizontal="left"/>
    </xf>
    <xf numFmtId="0" fontId="8" fillId="0" borderId="1" xfId="0" applyFont="1" applyBorder="1" applyAlignment="1">
      <alignment horizontal="left"/>
    </xf>
    <xf numFmtId="0" fontId="55" fillId="0" borderId="0" xfId="0" applyFont="1" applyAlignment="1">
      <alignment horizontal="left"/>
    </xf>
    <xf numFmtId="0" fontId="12" fillId="0" borderId="0" xfId="0" applyFont="1" applyAlignment="1">
      <alignment horizontal="center"/>
    </xf>
    <xf numFmtId="0" fontId="6" fillId="0" borderId="0" xfId="0" applyFont="1" applyAlignment="1">
      <alignment horizontal="right"/>
    </xf>
    <xf numFmtId="0" fontId="10" fillId="0" borderId="3" xfId="0" applyFont="1" applyBorder="1"/>
    <xf numFmtId="0" fontId="12" fillId="0" borderId="0" xfId="0" applyFont="1"/>
    <xf numFmtId="0" fontId="6" fillId="0" borderId="2" xfId="0" applyFont="1" applyBorder="1" applyAlignment="1">
      <alignment horizontal="left"/>
    </xf>
    <xf numFmtId="3" fontId="6" fillId="0" borderId="0" xfId="0" applyNumberFormat="1" applyFont="1"/>
    <xf numFmtId="3" fontId="10" fillId="0" borderId="3" xfId="0" applyNumberFormat="1" applyFont="1" applyBorder="1" applyAlignment="1">
      <alignment horizontal="center"/>
    </xf>
    <xf numFmtId="3" fontId="10" fillId="0" borderId="0" xfId="0" applyNumberFormat="1" applyFont="1"/>
    <xf numFmtId="168" fontId="6" fillId="0" borderId="0" xfId="0" applyNumberFormat="1" applyFont="1" applyAlignment="1">
      <alignment horizontal="left"/>
    </xf>
    <xf numFmtId="170" fontId="8" fillId="0" borderId="0" xfId="0" applyNumberFormat="1" applyFont="1"/>
    <xf numFmtId="0" fontId="16" fillId="0" borderId="5" xfId="0" applyFont="1" applyBorder="1" applyAlignment="1">
      <alignment horizontal="center"/>
    </xf>
    <xf numFmtId="0" fontId="21" fillId="0" borderId="4" xfId="0" applyFont="1" applyBorder="1" applyAlignment="1">
      <alignment horizontal="center"/>
    </xf>
    <xf numFmtId="0" fontId="16" fillId="0" borderId="4" xfId="0" applyFont="1" applyBorder="1"/>
    <xf numFmtId="0" fontId="21" fillId="0" borderId="0" xfId="0" applyFont="1" applyAlignment="1">
      <alignment horizontal="center"/>
    </xf>
    <xf numFmtId="0" fontId="16" fillId="0" borderId="0" xfId="0" applyFont="1"/>
    <xf numFmtId="3" fontId="16" fillId="0" borderId="0" xfId="0" applyNumberFormat="1" applyFont="1" applyAlignment="1">
      <alignment horizontal="center"/>
    </xf>
    <xf numFmtId="0" fontId="16" fillId="0" borderId="3" xfId="0" applyFont="1" applyBorder="1"/>
    <xf numFmtId="0" fontId="16" fillId="0" borderId="4" xfId="0" applyFont="1" applyBorder="1" applyAlignment="1">
      <alignment horizontal="left"/>
    </xf>
    <xf numFmtId="0" fontId="50" fillId="0" borderId="0" xfId="0" applyFont="1"/>
    <xf numFmtId="0" fontId="90" fillId="0" borderId="0" xfId="0" applyFont="1"/>
    <xf numFmtId="0" fontId="11" fillId="0" borderId="0" xfId="0" applyFont="1" applyAlignment="1">
      <alignment horizontal="center"/>
    </xf>
    <xf numFmtId="37" fontId="8" fillId="0" borderId="0" xfId="0" applyNumberFormat="1" applyFont="1" applyAlignment="1">
      <alignment horizontal="left"/>
    </xf>
    <xf numFmtId="0" fontId="24" fillId="0" borderId="0" xfId="0" applyFont="1" applyAlignment="1">
      <alignment horizontal="left"/>
    </xf>
    <xf numFmtId="3" fontId="8" fillId="0" borderId="1" xfId="0" applyNumberFormat="1" applyFont="1" applyFill="1" applyBorder="1"/>
    <xf numFmtId="3" fontId="8" fillId="0" borderId="2" xfId="0" applyNumberFormat="1" applyFont="1" applyFill="1" applyBorder="1"/>
    <xf numFmtId="0" fontId="10" fillId="0" borderId="1" xfId="0" applyFont="1" applyFill="1" applyBorder="1"/>
    <xf numFmtId="0" fontId="6" fillId="0" borderId="0" xfId="0" applyFont="1" applyFill="1" applyAlignment="1">
      <alignment horizontal="left"/>
    </xf>
    <xf numFmtId="3" fontId="10" fillId="0" borderId="0" xfId="0" applyNumberFormat="1" applyFont="1" applyFill="1" applyAlignment="1">
      <alignment horizontal="center"/>
    </xf>
    <xf numFmtId="170" fontId="8" fillId="0" borderId="0" xfId="0" applyNumberFormat="1" applyFont="1" applyFill="1"/>
    <xf numFmtId="168" fontId="8" fillId="0" borderId="0" xfId="0" applyNumberFormat="1" applyFont="1" applyFill="1" applyAlignment="1">
      <alignment horizontal="center"/>
    </xf>
    <xf numFmtId="168" fontId="8" fillId="0" borderId="0" xfId="0" applyNumberFormat="1" applyFont="1" applyFill="1" applyAlignment="1">
      <alignment horizontal="left"/>
    </xf>
    <xf numFmtId="3" fontId="12" fillId="0" borderId="0" xfId="0" applyNumberFormat="1" applyFont="1" applyFill="1"/>
    <xf numFmtId="0" fontId="12" fillId="0" borderId="3" xfId="0" applyFont="1" applyFill="1" applyBorder="1" applyAlignment="1">
      <alignment horizontal="center"/>
    </xf>
    <xf numFmtId="168" fontId="6" fillId="0" borderId="0" xfId="0" applyNumberFormat="1" applyFont="1" applyFill="1" applyAlignment="1">
      <alignment horizontal="left"/>
    </xf>
    <xf numFmtId="0" fontId="11" fillId="0" borderId="0" xfId="0" applyFont="1" applyFill="1" applyAlignment="1">
      <alignment horizontal="center"/>
    </xf>
    <xf numFmtId="37" fontId="8" fillId="0" borderId="0" xfId="0" applyNumberFormat="1" applyFont="1" applyFill="1" applyAlignment="1">
      <alignment horizontal="left"/>
    </xf>
    <xf numFmtId="0" fontId="8" fillId="0" borderId="0" xfId="0" applyFont="1" applyFill="1" applyAlignment="1">
      <alignment horizontal="center" vertical="top"/>
    </xf>
    <xf numFmtId="3" fontId="6" fillId="0" borderId="2" xfId="0" applyNumberFormat="1" applyFont="1" applyBorder="1" applyAlignment="1">
      <alignment horizontal="left"/>
    </xf>
    <xf numFmtId="3" fontId="6" fillId="0" borderId="0" xfId="0" applyNumberFormat="1" applyFont="1" applyFill="1" applyAlignment="1">
      <alignment horizontal="left"/>
    </xf>
    <xf numFmtId="3" fontId="29" fillId="0" borderId="0" xfId="0" applyNumberFormat="1" applyFont="1" applyFill="1"/>
    <xf numFmtId="169" fontId="8" fillId="0" borderId="0" xfId="0" applyNumberFormat="1" applyFont="1" applyFill="1" applyAlignment="1">
      <alignment horizontal="center"/>
    </xf>
    <xf numFmtId="0" fontId="114" fillId="0" borderId="0" xfId="0" applyFont="1"/>
    <xf numFmtId="0" fontId="115" fillId="0" borderId="0" xfId="0" applyFont="1"/>
    <xf numFmtId="0" fontId="115" fillId="0" borderId="0" xfId="0" applyFont="1" applyAlignment="1">
      <alignment horizontal="right"/>
    </xf>
    <xf numFmtId="0" fontId="115" fillId="0" borderId="3" xfId="0" applyFont="1" applyBorder="1" applyAlignment="1">
      <alignment horizontal="right"/>
    </xf>
    <xf numFmtId="2" fontId="116" fillId="0" borderId="0" xfId="0" applyNumberFormat="1" applyFont="1" applyAlignment="1">
      <alignment horizontal="left"/>
    </xf>
    <xf numFmtId="0" fontId="116" fillId="0" borderId="0" xfId="0" applyFont="1"/>
    <xf numFmtId="0" fontId="116" fillId="0" borderId="0" xfId="0" applyFont="1" applyAlignment="1">
      <alignment horizontal="right"/>
    </xf>
    <xf numFmtId="0" fontId="115" fillId="0" borderId="3" xfId="0" applyFont="1" applyBorder="1"/>
    <xf numFmtId="2" fontId="117" fillId="0" borderId="0" xfId="0" applyNumberFormat="1" applyFont="1" applyAlignment="1">
      <alignment horizontal="left"/>
    </xf>
    <xf numFmtId="0" fontId="117" fillId="0" borderId="0" xfId="0" applyFont="1"/>
    <xf numFmtId="0" fontId="4" fillId="0" borderId="0" xfId="0" applyFont="1" applyAlignment="1">
      <alignment horizontal="right"/>
    </xf>
    <xf numFmtId="0" fontId="105" fillId="0" borderId="0" xfId="59" applyNumberFormat="1" applyFont="1" applyAlignment="1" applyProtection="1">
      <alignment horizontal="center"/>
      <protection locked="0"/>
    </xf>
    <xf numFmtId="0" fontId="105" fillId="0" borderId="0" xfId="58" applyNumberFormat="1" applyFont="1" applyAlignment="1">
      <alignment horizontal="center"/>
    </xf>
    <xf numFmtId="0" fontId="47" fillId="0" borderId="0" xfId="0" quotePrefix="1" applyFont="1"/>
    <xf numFmtId="2" fontId="116" fillId="0" borderId="0" xfId="0" applyNumberFormat="1" applyFont="1" applyAlignment="1">
      <alignment horizontal="right"/>
    </xf>
    <xf numFmtId="3" fontId="27" fillId="0" borderId="0" xfId="0" applyNumberFormat="1" applyFont="1" applyFill="1" applyAlignment="1">
      <alignment horizontal="center"/>
    </xf>
    <xf numFmtId="3" fontId="27" fillId="0" borderId="6" xfId="0" applyNumberFormat="1" applyFont="1" applyFill="1" applyBorder="1" applyAlignment="1">
      <alignment horizontal="center"/>
    </xf>
    <xf numFmtId="3" fontId="27" fillId="0" borderId="8" xfId="0" applyNumberFormat="1" applyFont="1" applyFill="1" applyBorder="1" applyAlignment="1">
      <alignment horizontal="center"/>
    </xf>
    <xf numFmtId="3" fontId="27" fillId="0" borderId="9" xfId="0" applyNumberFormat="1" applyFont="1" applyFill="1" applyBorder="1" applyAlignment="1">
      <alignment horizontal="center"/>
    </xf>
    <xf numFmtId="3" fontId="4" fillId="0" borderId="9" xfId="0" applyNumberFormat="1" applyFont="1" applyFill="1" applyBorder="1" applyAlignment="1">
      <alignment horizontal="center"/>
    </xf>
    <xf numFmtId="164" fontId="27" fillId="0" borderId="9" xfId="1" applyNumberFormat="1"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5" fillId="0" borderId="16" xfId="0" applyFont="1" applyFill="1" applyBorder="1" applyAlignment="1">
      <alignment horizontal="center"/>
    </xf>
    <xf numFmtId="0" fontId="4" fillId="0" borderId="0" xfId="0" applyFont="1" applyAlignment="1">
      <alignment horizontal="center"/>
    </xf>
    <xf numFmtId="0" fontId="4" fillId="11" borderId="6" xfId="0" applyFont="1" applyFill="1" applyBorder="1" applyAlignment="1">
      <alignment horizontal="center"/>
    </xf>
    <xf numFmtId="164" fontId="4" fillId="11" borderId="6" xfId="1" applyNumberFormat="1" applyFont="1" applyFill="1" applyBorder="1"/>
    <xf numFmtId="43" fontId="4" fillId="11" borderId="0" xfId="1" applyFont="1" applyFill="1"/>
    <xf numFmtId="164" fontId="4" fillId="11" borderId="0" xfId="1" applyNumberFormat="1" applyFont="1" applyFill="1"/>
    <xf numFmtId="39" fontId="4" fillId="11" borderId="0" xfId="0" applyNumberFormat="1" applyFont="1" applyFill="1"/>
    <xf numFmtId="0" fontId="4" fillId="11" borderId="31" xfId="27" applyFill="1" applyBorder="1" applyAlignment="1">
      <alignment vertical="top"/>
    </xf>
    <xf numFmtId="37" fontId="4" fillId="11" borderId="21" xfId="27" applyNumberFormat="1" applyFill="1" applyBorder="1" applyAlignment="1">
      <alignment vertical="top"/>
    </xf>
    <xf numFmtId="0" fontId="4" fillId="11" borderId="21" xfId="27" applyFill="1" applyBorder="1" applyAlignment="1">
      <alignment horizontal="left" vertical="top" wrapText="1"/>
    </xf>
    <xf numFmtId="0" fontId="4" fillId="11" borderId="21" xfId="27" applyFill="1" applyBorder="1" applyAlignment="1">
      <alignment vertical="top"/>
    </xf>
    <xf numFmtId="0" fontId="4" fillId="11" borderId="21" xfId="27" applyFill="1" applyBorder="1"/>
    <xf numFmtId="164" fontId="4" fillId="11" borderId="21" xfId="65" applyNumberFormat="1" applyFill="1" applyBorder="1" applyAlignment="1">
      <alignment vertical="top"/>
    </xf>
    <xf numFmtId="164" fontId="4" fillId="2" borderId="21" xfId="65" applyNumberFormat="1" applyFill="1" applyBorder="1" applyAlignment="1">
      <alignment vertical="top"/>
    </xf>
    <xf numFmtId="183" fontId="4" fillId="11" borderId="29" xfId="64" applyNumberFormat="1" applyFill="1" applyBorder="1" applyAlignment="1" applyProtection="1">
      <alignment horizontal="left" vertical="top" wrapText="1"/>
      <protection locked="0"/>
    </xf>
    <xf numFmtId="0" fontId="27" fillId="11" borderId="21" xfId="27" applyFont="1" applyFill="1" applyBorder="1"/>
    <xf numFmtId="37" fontId="4" fillId="11" borderId="21" xfId="27" applyNumberFormat="1" applyFill="1" applyBorder="1"/>
    <xf numFmtId="0" fontId="4" fillId="11" borderId="21" xfId="27" applyFill="1" applyBorder="1" applyAlignment="1">
      <alignment horizontal="left" wrapText="1"/>
    </xf>
    <xf numFmtId="164" fontId="4" fillId="11" borderId="21" xfId="1" applyNumberFormat="1" applyFill="1" applyBorder="1" applyAlignment="1">
      <alignment vertical="top"/>
    </xf>
    <xf numFmtId="164" fontId="4" fillId="11" borderId="21" xfId="1" applyNumberFormat="1" applyFill="1" applyBorder="1"/>
    <xf numFmtId="164" fontId="74" fillId="0" borderId="0" xfId="61" applyNumberFormat="1" applyFont="1" applyAlignment="1">
      <alignment horizontal="justify" vertical="center" wrapText="1"/>
    </xf>
    <xf numFmtId="41" fontId="74" fillId="0" borderId="0" xfId="61" applyNumberFormat="1" applyFont="1" applyAlignment="1">
      <alignment horizontal="justify" vertical="center" wrapText="1"/>
    </xf>
    <xf numFmtId="0" fontId="105" fillId="11" borderId="0" xfId="52" quotePrefix="1" applyFont="1" applyFill="1" applyAlignment="1">
      <alignment horizontal="center"/>
    </xf>
    <xf numFmtId="184" fontId="6" fillId="0" borderId="0" xfId="0" applyNumberFormat="1" applyFont="1" applyFill="1" applyBorder="1" applyAlignment="1">
      <alignment horizontal="right"/>
    </xf>
    <xf numFmtId="39" fontId="6" fillId="0" borderId="0" xfId="0" applyNumberFormat="1" applyFont="1" applyBorder="1" applyAlignment="1">
      <alignment horizontal="right"/>
    </xf>
    <xf numFmtId="0" fontId="5" fillId="0" borderId="16" xfId="0" applyFont="1" applyBorder="1" applyAlignment="1">
      <alignment horizontal="center"/>
    </xf>
    <xf numFmtId="0" fontId="4" fillId="0" borderId="0" xfId="0" applyFont="1" applyAlignment="1">
      <alignment horizontal="center"/>
    </xf>
    <xf numFmtId="181" fontId="47" fillId="11" borderId="0" xfId="1" applyNumberFormat="1" applyFont="1" applyFill="1"/>
    <xf numFmtId="164" fontId="47" fillId="0" borderId="0" xfId="1" applyNumberFormat="1" applyFont="1" applyAlignment="1">
      <alignment horizontal="center"/>
    </xf>
    <xf numFmtId="0" fontId="8" fillId="0" borderId="0" xfId="0" applyFont="1" applyAlignment="1">
      <alignment horizontal="center"/>
    </xf>
    <xf numFmtId="0" fontId="10" fillId="0" borderId="3" xfId="0" applyFont="1" applyBorder="1" applyAlignment="1">
      <alignment horizontal="left"/>
    </xf>
    <xf numFmtId="164" fontId="75" fillId="0" borderId="3" xfId="61" applyNumberFormat="1" applyFont="1" applyBorder="1" applyAlignment="1">
      <alignment vertical="center"/>
    </xf>
    <xf numFmtId="41" fontId="5" fillId="0" borderId="0" xfId="16" applyNumberFormat="1" applyFont="1" applyAlignment="1">
      <alignment horizontal="center"/>
    </xf>
    <xf numFmtId="43" fontId="4" fillId="0" borderId="0" xfId="0" applyNumberFormat="1" applyFont="1" applyFill="1"/>
    <xf numFmtId="41" fontId="4" fillId="0" borderId="0" xfId="16" applyNumberFormat="1"/>
    <xf numFmtId="0" fontId="4" fillId="0" borderId="0" xfId="0" applyNumberFormat="1" applyFont="1" applyFill="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Fill="1" applyBorder="1" applyAlignment="1">
      <alignment horizontal="center"/>
    </xf>
    <xf numFmtId="0" fontId="105" fillId="0" borderId="0" xfId="52" applyFont="1" applyFill="1" applyAlignment="1">
      <alignment horizontal="center" wrapText="1"/>
    </xf>
    <xf numFmtId="164" fontId="60" fillId="0" borderId="0" xfId="1" applyNumberFormat="1" applyFont="1"/>
    <xf numFmtId="0" fontId="105" fillId="0" borderId="0" xfId="52" applyFont="1" applyFill="1" applyAlignment="1">
      <alignment horizontal="centerContinuous"/>
    </xf>
    <xf numFmtId="178" fontId="60" fillId="0" borderId="0" xfId="48" applyNumberFormat="1" applyFont="1" applyFill="1"/>
    <xf numFmtId="37" fontId="60" fillId="0" borderId="0" xfId="52" applyNumberFormat="1" applyFont="1" applyFill="1"/>
    <xf numFmtId="0" fontId="5" fillId="0" borderId="16" xfId="0" applyFont="1" applyBorder="1" applyAlignment="1">
      <alignment horizontal="center"/>
    </xf>
    <xf numFmtId="0" fontId="4" fillId="0" borderId="0" xfId="0" applyFont="1" applyAlignment="1">
      <alignment horizontal="center"/>
    </xf>
    <xf numFmtId="0" fontId="105" fillId="0" borderId="0" xfId="52" applyFont="1" applyFill="1" applyAlignment="1">
      <alignment horizontal="center"/>
    </xf>
    <xf numFmtId="0" fontId="60" fillId="0" borderId="0" xfId="48" applyNumberFormat="1" applyFont="1" applyFill="1" applyAlignment="1">
      <alignment horizontal="center"/>
    </xf>
    <xf numFmtId="0" fontId="60" fillId="0" borderId="0" xfId="52" applyFont="1" applyFill="1"/>
    <xf numFmtId="170" fontId="60" fillId="0" borderId="0" xfId="51" applyFont="1" applyFill="1"/>
    <xf numFmtId="170" fontId="60" fillId="0" borderId="0" xfId="48" applyFont="1" applyFill="1"/>
    <xf numFmtId="0" fontId="102" fillId="0" borderId="0" xfId="48" applyNumberFormat="1" applyFont="1" applyFill="1" applyAlignment="1">
      <alignment horizontal="center"/>
    </xf>
    <xf numFmtId="164" fontId="60" fillId="0" borderId="0" xfId="1" applyNumberFormat="1" applyFont="1" applyFill="1"/>
    <xf numFmtId="3" fontId="27" fillId="0" borderId="0" xfId="0" quotePrefix="1" applyNumberFormat="1" applyFont="1" applyFill="1" applyAlignment="1">
      <alignment horizontal="center"/>
    </xf>
    <xf numFmtId="3" fontId="27" fillId="0" borderId="0" xfId="0" applyNumberFormat="1" applyFont="1"/>
    <xf numFmtId="164" fontId="27" fillId="0" borderId="0" xfId="1" applyNumberFormat="1" applyFont="1" applyFill="1"/>
    <xf numFmtId="164" fontId="27" fillId="0" borderId="0" xfId="0" applyNumberFormat="1" applyFont="1" applyFill="1"/>
    <xf numFmtId="43" fontId="4" fillId="0" borderId="0" xfId="16" applyNumberFormat="1"/>
    <xf numFmtId="164" fontId="5" fillId="0" borderId="0" xfId="1" applyNumberFormat="1" applyFont="1" applyAlignment="1">
      <alignment horizontal="center"/>
    </xf>
    <xf numFmtId="164" fontId="4" fillId="0" borderId="0" xfId="1" applyNumberFormat="1" applyFont="1" applyAlignment="1">
      <alignment wrapText="1"/>
    </xf>
    <xf numFmtId="164" fontId="4" fillId="2" borderId="21" xfId="40" applyNumberFormat="1" applyFont="1" applyFill="1" applyBorder="1" applyAlignment="1">
      <alignment vertical="top"/>
    </xf>
    <xf numFmtId="0" fontId="4" fillId="11" borderId="21" xfId="0" applyFont="1" applyFill="1" applyBorder="1" applyAlignment="1">
      <alignment horizontal="left" vertical="top" wrapText="1"/>
    </xf>
    <xf numFmtId="43" fontId="4" fillId="0" borderId="0" xfId="46" applyNumberFormat="1" applyFont="1" applyAlignment="1">
      <alignment wrapText="1"/>
    </xf>
    <xf numFmtId="41" fontId="4" fillId="0" borderId="0" xfId="46" applyNumberFormat="1" applyFont="1" applyAlignment="1">
      <alignment wrapText="1"/>
    </xf>
    <xf numFmtId="164" fontId="49" fillId="0" borderId="0" xfId="0" applyNumberFormat="1" applyFont="1" applyFill="1"/>
    <xf numFmtId="164" fontId="0" fillId="0" borderId="0" xfId="25" applyNumberFormat="1" applyFont="1" applyFill="1" applyAlignment="1"/>
    <xf numFmtId="170" fontId="14" fillId="0" borderId="0" xfId="60" applyFill="1"/>
    <xf numFmtId="0" fontId="6" fillId="6" borderId="15" xfId="0" applyFont="1" applyFill="1" applyBorder="1" applyAlignment="1">
      <alignment horizontal="center" wrapText="1"/>
    </xf>
    <xf numFmtId="0" fontId="6" fillId="6" borderId="10" xfId="0" applyFont="1" applyFill="1" applyBorder="1" applyAlignment="1">
      <alignment horizontal="center" wrapText="1"/>
    </xf>
    <xf numFmtId="0" fontId="6" fillId="2" borderId="17" xfId="0" applyFont="1" applyFill="1" applyBorder="1" applyAlignment="1">
      <alignment horizontal="center" wrapText="1"/>
    </xf>
    <xf numFmtId="0" fontId="6" fillId="2" borderId="19" xfId="0" applyFont="1" applyFill="1" applyBorder="1" applyAlignment="1">
      <alignment horizontal="center" wrapText="1"/>
    </xf>
    <xf numFmtId="0" fontId="8" fillId="0" borderId="0" xfId="0" applyFont="1" applyFill="1" applyAlignment="1">
      <alignment horizontal="left" vertical="top" wrapText="1"/>
    </xf>
    <xf numFmtId="0" fontId="8" fillId="0" borderId="0" xfId="0" applyFont="1" applyAlignment="1">
      <alignment horizontal="left" vertical="top" wrapText="1"/>
    </xf>
    <xf numFmtId="170" fontId="8" fillId="0" borderId="0" xfId="4" applyFont="1" applyAlignment="1" applyProtection="1">
      <alignment horizontal="left" vertical="top" wrapText="1"/>
      <protection locked="0"/>
    </xf>
    <xf numFmtId="0" fontId="75" fillId="0" borderId="23" xfId="61" applyFont="1" applyBorder="1" applyAlignment="1">
      <alignment horizontal="center" vertical="center"/>
    </xf>
    <xf numFmtId="0" fontId="75" fillId="0" borderId="1" xfId="61" applyFont="1" applyBorder="1" applyAlignment="1">
      <alignment horizontal="center" vertical="center"/>
    </xf>
    <xf numFmtId="0" fontId="75" fillId="0" borderId="24" xfId="61" applyFont="1" applyBorder="1" applyAlignment="1">
      <alignment horizontal="center" vertical="center"/>
    </xf>
    <xf numFmtId="0" fontId="75" fillId="0" borderId="29" xfId="61" applyFont="1" applyBorder="1" applyAlignment="1">
      <alignment horizontal="center" vertical="center"/>
    </xf>
    <xf numFmtId="0" fontId="75" fillId="0" borderId="30" xfId="61" applyFont="1" applyBorder="1" applyAlignment="1">
      <alignment horizontal="center" vertical="center"/>
    </xf>
    <xf numFmtId="0" fontId="75" fillId="0" borderId="31" xfId="61" applyFont="1" applyBorder="1" applyAlignment="1">
      <alignment horizontal="center" vertical="center"/>
    </xf>
    <xf numFmtId="0" fontId="94" fillId="0" borderId="0" xfId="61" applyFont="1" applyAlignment="1">
      <alignment horizontal="center"/>
    </xf>
    <xf numFmtId="0" fontId="75" fillId="0" borderId="3" xfId="61" applyFont="1" applyBorder="1" applyAlignment="1">
      <alignment horizontal="center" vertical="center"/>
    </xf>
    <xf numFmtId="0" fontId="74" fillId="0" borderId="0" xfId="61" applyFont="1" applyAlignment="1">
      <alignment horizontal="left" vertical="top" wrapText="1"/>
    </xf>
    <xf numFmtId="0" fontId="74" fillId="0" borderId="0" xfId="61" applyFont="1" applyAlignment="1">
      <alignment horizontal="left" vertical="top"/>
    </xf>
    <xf numFmtId="0" fontId="74" fillId="11" borderId="0" xfId="61" applyFont="1" applyFill="1" applyAlignment="1">
      <alignment horizontal="left" vertical="top" wrapText="1"/>
    </xf>
    <xf numFmtId="0" fontId="5" fillId="0" borderId="0" xfId="16" applyFont="1" applyAlignment="1">
      <alignment horizontal="left" vertical="top" wrapText="1"/>
    </xf>
    <xf numFmtId="0" fontId="6" fillId="0" borderId="0" xfId="16" applyFont="1" applyAlignment="1">
      <alignment horizontal="center"/>
    </xf>
    <xf numFmtId="0" fontId="6" fillId="0" borderId="0" xfId="46" applyFont="1" applyAlignment="1">
      <alignment horizontal="center"/>
    </xf>
    <xf numFmtId="15" fontId="5" fillId="11" borderId="0" xfId="46" quotePrefix="1" applyNumberFormat="1" applyFont="1" applyFill="1" applyAlignment="1">
      <alignment horizontal="center"/>
    </xf>
    <xf numFmtId="0" fontId="4" fillId="0" borderId="0" xfId="16" applyAlignment="1">
      <alignment horizontal="left" vertical="top" wrapText="1"/>
    </xf>
    <xf numFmtId="0" fontId="75" fillId="0" borderId="0" xfId="16" applyFont="1" applyAlignment="1">
      <alignment horizontal="left" vertical="top" wrapText="1"/>
    </xf>
    <xf numFmtId="0" fontId="95" fillId="12" borderId="0" xfId="61" applyFont="1" applyFill="1" applyAlignment="1">
      <alignment horizontal="center"/>
    </xf>
    <xf numFmtId="0" fontId="80" fillId="12" borderId="0" xfId="61" applyFont="1" applyFill="1" applyAlignment="1">
      <alignment horizontal="left"/>
    </xf>
    <xf numFmtId="0" fontId="80" fillId="12" borderId="3" xfId="61" applyFont="1" applyFill="1" applyBorder="1" applyAlignment="1">
      <alignment horizontal="left"/>
    </xf>
    <xf numFmtId="0" fontId="75" fillId="0" borderId="0" xfId="61" applyFont="1" applyAlignment="1">
      <alignment horizontal="left" vertical="center" indent="1"/>
    </xf>
    <xf numFmtId="0" fontId="75" fillId="0" borderId="3" xfId="61" applyFont="1" applyBorder="1" applyAlignment="1">
      <alignment horizontal="left" vertical="center" indent="1"/>
    </xf>
    <xf numFmtId="0" fontId="75" fillId="0" borderId="0" xfId="61" applyFont="1" applyAlignment="1">
      <alignment horizontal="left" vertical="center" wrapText="1"/>
    </xf>
    <xf numFmtId="0" fontId="75" fillId="0" borderId="3" xfId="61" applyFont="1" applyBorder="1" applyAlignment="1">
      <alignment horizontal="left" vertical="center" wrapText="1"/>
    </xf>
    <xf numFmtId="0" fontId="74" fillId="0" borderId="0" xfId="61" applyFont="1" applyAlignment="1">
      <alignment horizontal="center" vertical="center" wrapText="1"/>
    </xf>
    <xf numFmtId="0" fontId="74" fillId="0" borderId="3" xfId="61" applyFont="1" applyBorder="1" applyAlignment="1">
      <alignment horizontal="center" vertical="center" wrapText="1"/>
    </xf>
    <xf numFmtId="0" fontId="74" fillId="0" borderId="0" xfId="61" applyFont="1" applyAlignment="1">
      <alignment horizontal="center" wrapText="1"/>
    </xf>
    <xf numFmtId="0" fontId="74" fillId="0" borderId="3" xfId="61" applyFont="1" applyBorder="1" applyAlignment="1">
      <alignment horizontal="center" wrapText="1"/>
    </xf>
    <xf numFmtId="0" fontId="92" fillId="0" borderId="29" xfId="61" applyFont="1" applyBorder="1" applyAlignment="1">
      <alignment horizontal="center"/>
    </xf>
    <xf numFmtId="0" fontId="92" fillId="0" borderId="30" xfId="61" applyFont="1" applyBorder="1" applyAlignment="1">
      <alignment horizontal="center"/>
    </xf>
    <xf numFmtId="0" fontId="92" fillId="0" borderId="31" xfId="61" applyFont="1" applyBorder="1" applyAlignment="1">
      <alignment horizontal="center"/>
    </xf>
    <xf numFmtId="0" fontId="75" fillId="0" borderId="0" xfId="61" applyFont="1" applyAlignment="1">
      <alignment horizontal="center" vertical="center"/>
    </xf>
    <xf numFmtId="0" fontId="75" fillId="0" borderId="0" xfId="61" applyFont="1" applyAlignment="1">
      <alignment horizontal="left" vertical="center"/>
    </xf>
    <xf numFmtId="0" fontId="75" fillId="0" borderId="3" xfId="61" applyFont="1" applyBorder="1" applyAlignment="1">
      <alignment horizontal="left" vertical="center"/>
    </xf>
    <xf numFmtId="0" fontId="74" fillId="0" borderId="0" xfId="61" applyFont="1" applyAlignment="1">
      <alignment horizontal="left" vertical="center" wrapText="1" indent="1"/>
    </xf>
    <xf numFmtId="0" fontId="74" fillId="0" borderId="3" xfId="61" applyFont="1" applyBorder="1" applyAlignment="1">
      <alignment horizontal="left" vertical="center" wrapText="1" indent="1"/>
    </xf>
    <xf numFmtId="0" fontId="4" fillId="0" borderId="0" xfId="61" applyFont="1" applyAlignment="1">
      <alignment horizontal="left" vertical="top" wrapText="1"/>
    </xf>
    <xf numFmtId="0" fontId="4" fillId="0" borderId="0" xfId="15" applyFont="1" applyAlignment="1">
      <alignment horizontal="left" vertical="top" wrapText="1"/>
    </xf>
    <xf numFmtId="0" fontId="74" fillId="0" borderId="0" xfId="15" applyAlignment="1">
      <alignment horizontal="left" vertical="top" wrapText="1"/>
    </xf>
    <xf numFmtId="0" fontId="84" fillId="12" borderId="29" xfId="61" applyFont="1" applyFill="1" applyBorder="1" applyAlignment="1">
      <alignment horizontal="center"/>
    </xf>
    <xf numFmtId="0" fontId="84" fillId="12" borderId="30" xfId="61" applyFont="1" applyFill="1" applyBorder="1" applyAlignment="1">
      <alignment horizontal="center"/>
    </xf>
    <xf numFmtId="0" fontId="84" fillId="12" borderId="31" xfId="61" applyFont="1" applyFill="1" applyBorder="1" applyAlignment="1">
      <alignment horizontal="center"/>
    </xf>
    <xf numFmtId="0" fontId="94" fillId="0" borderId="29" xfId="61" applyFont="1" applyBorder="1" applyAlignment="1">
      <alignment horizontal="center"/>
    </xf>
    <xf numFmtId="0" fontId="94" fillId="0" borderId="30" xfId="61" applyFont="1" applyBorder="1" applyAlignment="1">
      <alignment horizontal="center"/>
    </xf>
    <xf numFmtId="0" fontId="94" fillId="0" borderId="31" xfId="61" applyFont="1" applyBorder="1" applyAlignment="1">
      <alignment horizontal="center"/>
    </xf>
    <xf numFmtId="0" fontId="16" fillId="0" borderId="0" xfId="0" applyFont="1" applyAlignment="1">
      <alignment horizontal="center"/>
    </xf>
    <xf numFmtId="0" fontId="4" fillId="0" borderId="0" xfId="0" applyFont="1" applyAlignment="1"/>
    <xf numFmtId="0" fontId="6" fillId="0" borderId="0" xfId="0" applyFont="1" applyAlignment="1">
      <alignment horizontal="center"/>
    </xf>
    <xf numFmtId="0" fontId="8" fillId="0" borderId="0" xfId="0" applyFont="1" applyAlignment="1">
      <alignment horizontal="center"/>
    </xf>
    <xf numFmtId="0" fontId="5" fillId="0" borderId="0" xfId="0" applyFont="1" applyAlignment="1">
      <alignment horizontal="center"/>
    </xf>
    <xf numFmtId="0" fontId="30" fillId="0" borderId="0" xfId="0" applyFont="1" applyFill="1" applyBorder="1" applyAlignment="1">
      <alignment horizontal="center" wrapText="1"/>
    </xf>
    <xf numFmtId="0" fontId="27" fillId="0" borderId="0" xfId="0" applyFont="1" applyFill="1" applyBorder="1" applyAlignment="1">
      <alignment horizontal="center" wrapText="1"/>
    </xf>
    <xf numFmtId="0" fontId="30" fillId="0" borderId="9" xfId="0" applyFont="1" applyFill="1" applyBorder="1" applyAlignment="1">
      <alignment horizontal="center" wrapText="1"/>
    </xf>
    <xf numFmtId="0" fontId="27" fillId="0" borderId="9" xfId="0" applyFont="1" applyFill="1" applyBorder="1" applyAlignment="1">
      <alignment horizontal="center" wrapText="1"/>
    </xf>
    <xf numFmtId="0" fontId="43" fillId="5" borderId="16" xfId="0" applyFont="1" applyFill="1" applyBorder="1" applyAlignment="1">
      <alignment horizontal="center"/>
    </xf>
    <xf numFmtId="0" fontId="43" fillId="5" borderId="14" xfId="0" applyFont="1" applyFill="1" applyBorder="1" applyAlignment="1">
      <alignment horizontal="center"/>
    </xf>
    <xf numFmtId="0" fontId="43" fillId="5" borderId="15" xfId="0" applyFont="1" applyFill="1" applyBorder="1" applyAlignment="1">
      <alignment horizontal="center"/>
    </xf>
    <xf numFmtId="0" fontId="26" fillId="5" borderId="14" xfId="0" applyFont="1" applyFill="1" applyBorder="1" applyAlignment="1">
      <alignment horizontal="center" wrapText="1"/>
    </xf>
    <xf numFmtId="0" fontId="32" fillId="5" borderId="14" xfId="0" applyFont="1" applyFill="1" applyBorder="1" applyAlignment="1">
      <alignment horizontal="center" wrapText="1"/>
    </xf>
    <xf numFmtId="0" fontId="27" fillId="0" borderId="14" xfId="0" applyFont="1" applyBorder="1" applyAlignment="1">
      <alignment horizontal="center" wrapText="1"/>
    </xf>
    <xf numFmtId="0" fontId="27" fillId="0" borderId="0" xfId="0" applyFont="1" applyAlignment="1">
      <alignment horizontal="center" wrapText="1"/>
    </xf>
    <xf numFmtId="0" fontId="27" fillId="0" borderId="9" xfId="0" applyFont="1" applyBorder="1" applyAlignment="1">
      <alignment horizontal="center" wrapText="1"/>
    </xf>
    <xf numFmtId="0" fontId="26" fillId="0" borderId="0" xfId="0" applyFont="1" applyFill="1" applyBorder="1" applyAlignment="1">
      <alignment horizontal="center" wrapText="1"/>
    </xf>
    <xf numFmtId="0" fontId="43" fillId="5" borderId="16" xfId="0" applyFont="1" applyFill="1" applyBorder="1" applyAlignment="1">
      <alignment horizontal="center" wrapText="1"/>
    </xf>
    <xf numFmtId="0" fontId="43" fillId="5" borderId="14" xfId="0" applyFont="1" applyFill="1" applyBorder="1" applyAlignment="1">
      <alignment horizontal="center" wrapText="1"/>
    </xf>
    <xf numFmtId="0" fontId="43" fillId="5" borderId="15" xfId="0" applyFont="1" applyFill="1" applyBorder="1" applyAlignment="1">
      <alignment horizontal="center" wrapText="1"/>
    </xf>
    <xf numFmtId="0" fontId="44" fillId="5" borderId="16" xfId="0" applyFont="1" applyFill="1" applyBorder="1" applyAlignment="1">
      <alignment horizontal="center"/>
    </xf>
    <xf numFmtId="0" fontId="44" fillId="5" borderId="14" xfId="0" applyFont="1" applyFill="1" applyBorder="1" applyAlignment="1">
      <alignment horizontal="center"/>
    </xf>
    <xf numFmtId="0" fontId="43" fillId="0" borderId="0" xfId="0" applyFont="1" applyFill="1" applyBorder="1" applyAlignment="1">
      <alignment horizontal="center"/>
    </xf>
    <xf numFmtId="0" fontId="39" fillId="0" borderId="0" xfId="0" applyFont="1" applyAlignment="1">
      <alignment horizontal="center"/>
    </xf>
    <xf numFmtId="0" fontId="81" fillId="13" borderId="9" xfId="0" applyNumberFormat="1" applyFont="1" applyFill="1" applyBorder="1" applyAlignment="1">
      <alignment horizontal="left" vertical="center" wrapText="1"/>
    </xf>
    <xf numFmtId="0" fontId="43" fillId="9" borderId="5" xfId="0" applyFont="1" applyFill="1" applyBorder="1" applyAlignment="1">
      <alignment horizontal="left"/>
    </xf>
    <xf numFmtId="0" fontId="43" fillId="9" borderId="4" xfId="0" applyFont="1" applyFill="1" applyBorder="1" applyAlignment="1">
      <alignment horizontal="left"/>
    </xf>
    <xf numFmtId="0" fontId="43" fillId="9" borderId="13" xfId="0" applyFont="1" applyFill="1" applyBorder="1" applyAlignment="1">
      <alignment horizontal="left"/>
    </xf>
    <xf numFmtId="0" fontId="23" fillId="5" borderId="16" xfId="0" applyFont="1" applyFill="1" applyBorder="1" applyAlignment="1">
      <alignment horizontal="center"/>
    </xf>
    <xf numFmtId="0" fontId="4" fillId="0" borderId="14" xfId="0" applyFont="1" applyBorder="1" applyAlignment="1">
      <alignment horizontal="center"/>
    </xf>
    <xf numFmtId="0" fontId="23" fillId="5" borderId="14" xfId="0" applyFont="1" applyFill="1" applyBorder="1" applyAlignment="1">
      <alignment horizontal="center"/>
    </xf>
    <xf numFmtId="0" fontId="81" fillId="13" borderId="0" xfId="0" applyFont="1" applyFill="1" applyAlignment="1">
      <alignment horizontal="left" vertical="top" wrapText="1"/>
    </xf>
    <xf numFmtId="0" fontId="81" fillId="13" borderId="0" xfId="0" applyFont="1" applyFill="1" applyAlignment="1">
      <alignment horizontal="left" vertical="center" wrapText="1"/>
    </xf>
    <xf numFmtId="0" fontId="29" fillId="13" borderId="0" xfId="0" applyFont="1" applyFill="1" applyAlignment="1">
      <alignment horizontal="left" vertical="top" wrapText="1"/>
    </xf>
    <xf numFmtId="0" fontId="4" fillId="0" borderId="14" xfId="0" applyFont="1" applyBorder="1" applyAlignment="1">
      <alignment wrapText="1"/>
    </xf>
    <xf numFmtId="0" fontId="4" fillId="0" borderId="15" xfId="0" applyFont="1" applyBorder="1" applyAlignment="1">
      <alignment wrapText="1"/>
    </xf>
    <xf numFmtId="0" fontId="27" fillId="0" borderId="0" xfId="0" applyFont="1" applyAlignment="1">
      <alignment horizontal="left" wrapText="1"/>
    </xf>
    <xf numFmtId="0" fontId="4" fillId="0" borderId="0" xfId="0" applyFont="1" applyAlignment="1">
      <alignment horizontal="left" wrapText="1"/>
    </xf>
    <xf numFmtId="0" fontId="4" fillId="0" borderId="7" xfId="0" applyFont="1" applyBorder="1" applyAlignment="1">
      <alignment horizontal="left" wrapText="1"/>
    </xf>
    <xf numFmtId="0" fontId="30" fillId="0" borderId="0" xfId="0" applyFont="1" applyAlignment="1">
      <alignment horizontal="left" wrapText="1"/>
    </xf>
    <xf numFmtId="0" fontId="30" fillId="0" borderId="7" xfId="0" applyFont="1" applyBorder="1" applyAlignment="1">
      <alignment horizontal="left" wrapText="1"/>
    </xf>
    <xf numFmtId="0" fontId="27" fillId="0" borderId="7" xfId="0" applyFont="1" applyBorder="1" applyAlignment="1">
      <alignment horizontal="left" wrapText="1"/>
    </xf>
    <xf numFmtId="0" fontId="27" fillId="0" borderId="7" xfId="0" applyFont="1" applyFill="1" applyBorder="1" applyAlignment="1">
      <alignment horizontal="center" wrapText="1"/>
    </xf>
    <xf numFmtId="0" fontId="30" fillId="0" borderId="0" xfId="0" applyFont="1" applyFill="1" applyAlignment="1">
      <alignment horizontal="left" wrapText="1"/>
    </xf>
    <xf numFmtId="0" fontId="30" fillId="0" borderId="7" xfId="0" applyFont="1" applyFill="1" applyBorder="1" applyAlignment="1">
      <alignment horizontal="left" wrapText="1"/>
    </xf>
    <xf numFmtId="0" fontId="27" fillId="0" borderId="15" xfId="0" applyFont="1" applyBorder="1" applyAlignment="1">
      <alignment horizontal="center" wrapText="1"/>
    </xf>
    <xf numFmtId="0" fontId="27" fillId="0" borderId="10" xfId="0" applyFont="1" applyFill="1" applyBorder="1" applyAlignment="1">
      <alignment horizontal="center" wrapText="1"/>
    </xf>
    <xf numFmtId="0" fontId="25" fillId="0" borderId="0" xfId="0" applyFont="1" applyFill="1" applyAlignment="1">
      <alignment horizontal="left" vertical="top" textRotation="180" wrapText="1"/>
    </xf>
    <xf numFmtId="0" fontId="25" fillId="0" borderId="0" xfId="0" applyFont="1" applyFill="1" applyAlignment="1"/>
    <xf numFmtId="0" fontId="4" fillId="0" borderId="9" xfId="0" applyFont="1" applyBorder="1" applyAlignment="1">
      <alignment horizontal="left" wrapText="1"/>
    </xf>
    <xf numFmtId="0" fontId="4" fillId="0" borderId="10" xfId="0" applyFont="1" applyBorder="1" applyAlignment="1">
      <alignment horizontal="left" wrapText="1"/>
    </xf>
    <xf numFmtId="164" fontId="27" fillId="0" borderId="9" xfId="1" applyNumberFormat="1" applyFont="1" applyFill="1" applyBorder="1" applyAlignment="1">
      <alignment horizontal="center" wrapText="1"/>
    </xf>
    <xf numFmtId="164" fontId="27" fillId="0" borderId="10" xfId="1" applyNumberFormat="1" applyFont="1" applyFill="1" applyBorder="1" applyAlignment="1">
      <alignment horizontal="center" wrapText="1"/>
    </xf>
    <xf numFmtId="0" fontId="27" fillId="0" borderId="7" xfId="0" applyFont="1" applyBorder="1" applyAlignment="1">
      <alignment horizontal="center" wrapText="1"/>
    </xf>
    <xf numFmtId="0" fontId="27" fillId="0" borderId="0" xfId="0" applyFont="1" applyFill="1" applyBorder="1" applyAlignment="1">
      <alignment horizontal="center"/>
    </xf>
    <xf numFmtId="0" fontId="27" fillId="0" borderId="7" xfId="0" applyFont="1" applyFill="1" applyBorder="1" applyAlignment="1">
      <alignment horizontal="center"/>
    </xf>
    <xf numFmtId="3" fontId="27" fillId="0" borderId="0" xfId="0" applyNumberFormat="1" applyFont="1" applyBorder="1" applyAlignment="1">
      <alignment horizontal="left" wrapText="1"/>
    </xf>
    <xf numFmtId="0" fontId="4" fillId="0" borderId="0" xfId="0" applyFont="1" applyBorder="1" applyAlignment="1">
      <alignment wrapText="1"/>
    </xf>
    <xf numFmtId="0" fontId="4" fillId="0" borderId="7" xfId="0" applyFont="1" applyBorder="1" applyAlignment="1">
      <alignment wrapText="1"/>
    </xf>
    <xf numFmtId="0" fontId="30" fillId="0" borderId="0" xfId="0" applyFont="1" applyAlignment="1">
      <alignment horizontal="left" vertical="top" wrapText="1"/>
    </xf>
    <xf numFmtId="0" fontId="30" fillId="0" borderId="7" xfId="0" applyFont="1" applyBorder="1" applyAlignment="1">
      <alignment horizontal="left" vertical="top" wrapText="1"/>
    </xf>
    <xf numFmtId="0" fontId="30" fillId="0" borderId="9" xfId="0" applyFont="1" applyFill="1" applyBorder="1" applyAlignment="1">
      <alignment horizontal="left" wrapText="1"/>
    </xf>
    <xf numFmtId="0" fontId="30" fillId="0" borderId="10" xfId="0" applyFont="1" applyFill="1" applyBorder="1" applyAlignment="1">
      <alignment horizontal="left" wrapText="1"/>
    </xf>
    <xf numFmtId="0" fontId="27" fillId="0" borderId="0" xfId="0" applyFont="1" applyFill="1" applyBorder="1" applyAlignment="1">
      <alignment horizontal="left" wrapText="1"/>
    </xf>
    <xf numFmtId="0" fontId="27" fillId="0" borderId="7" xfId="0" applyFont="1" applyFill="1" applyBorder="1" applyAlignment="1">
      <alignment horizontal="left" wrapText="1"/>
    </xf>
    <xf numFmtId="0" fontId="30" fillId="0" borderId="7" xfId="0" applyFont="1" applyFill="1" applyBorder="1" applyAlignment="1">
      <alignment horizontal="center" wrapText="1"/>
    </xf>
    <xf numFmtId="0" fontId="27" fillId="0" borderId="10" xfId="0" applyFont="1" applyBorder="1" applyAlignment="1">
      <alignment horizontal="center" wrapText="1"/>
    </xf>
    <xf numFmtId="0" fontId="32" fillId="5" borderId="15" xfId="0" applyFont="1" applyFill="1" applyBorder="1" applyAlignment="1">
      <alignment horizontal="center" wrapText="1"/>
    </xf>
    <xf numFmtId="164" fontId="27" fillId="0" borderId="9" xfId="0" applyNumberFormat="1" applyFont="1" applyFill="1" applyBorder="1" applyAlignment="1">
      <alignment horizontal="center" wrapText="1"/>
    </xf>
    <xf numFmtId="0" fontId="43" fillId="9" borderId="16" xfId="0" applyFont="1" applyFill="1" applyBorder="1" applyAlignment="1">
      <alignment horizontal="center"/>
    </xf>
    <xf numFmtId="0" fontId="43" fillId="9" borderId="14" xfId="0" applyFont="1" applyFill="1" applyBorder="1" applyAlignment="1">
      <alignment horizontal="center"/>
    </xf>
    <xf numFmtId="0" fontId="43" fillId="9" borderId="15" xfId="0" applyFont="1" applyFill="1" applyBorder="1" applyAlignment="1">
      <alignment horizontal="center"/>
    </xf>
    <xf numFmtId="0" fontId="4" fillId="0" borderId="9" xfId="0" applyFont="1" applyFill="1" applyBorder="1" applyAlignment="1">
      <alignment horizontal="left" wrapText="1"/>
    </xf>
    <xf numFmtId="0" fontId="4" fillId="0" borderId="10" xfId="0" applyFont="1" applyFill="1" applyBorder="1" applyAlignment="1">
      <alignment horizontal="left" wrapText="1"/>
    </xf>
    <xf numFmtId="164" fontId="33" fillId="0" borderId="8" xfId="1" applyNumberFormat="1" applyFont="1" applyFill="1" applyBorder="1" applyAlignment="1">
      <alignment horizontal="center"/>
    </xf>
    <xf numFmtId="164" fontId="4" fillId="0" borderId="9" xfId="1" applyNumberFormat="1" applyFont="1" applyFill="1" applyBorder="1" applyAlignment="1">
      <alignment horizontal="center"/>
    </xf>
    <xf numFmtId="164" fontId="33" fillId="0" borderId="9" xfId="1" applyNumberFormat="1" applyFont="1" applyFill="1" applyBorder="1" applyAlignment="1">
      <alignment horizontal="center"/>
    </xf>
    <xf numFmtId="164" fontId="33" fillId="0" borderId="6" xfId="1" applyNumberFormat="1" applyFont="1" applyFill="1" applyBorder="1" applyAlignment="1">
      <alignment horizontal="center"/>
    </xf>
    <xf numFmtId="164" fontId="4" fillId="0" borderId="0" xfId="1" applyNumberFormat="1" applyFont="1" applyFill="1" applyBorder="1" applyAlignment="1">
      <alignment horizontal="center"/>
    </xf>
    <xf numFmtId="164" fontId="33" fillId="0" borderId="0" xfId="1" applyNumberFormat="1" applyFont="1" applyFill="1" applyBorder="1" applyAlignment="1">
      <alignment horizontal="center"/>
    </xf>
    <xf numFmtId="2" fontId="33"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0" fontId="4" fillId="0" borderId="0" xfId="0" applyFont="1" applyFill="1" applyBorder="1" applyAlignment="1">
      <alignment horizontal="center"/>
    </xf>
    <xf numFmtId="0" fontId="26" fillId="5" borderId="15" xfId="0" applyFont="1" applyFill="1" applyBorder="1" applyAlignment="1">
      <alignment horizontal="center" wrapText="1"/>
    </xf>
    <xf numFmtId="0" fontId="16" fillId="0" borderId="0" xfId="0" applyFont="1" applyAlignment="1"/>
    <xf numFmtId="0" fontId="47" fillId="0" borderId="0" xfId="0" applyNumberFormat="1" applyFont="1" applyAlignment="1">
      <alignment horizontal="left" wrapText="1"/>
    </xf>
    <xf numFmtId="0" fontId="5" fillId="0" borderId="16" xfId="0" applyFont="1" applyBorder="1" applyAlignment="1">
      <alignment horizontal="center" wrapText="1"/>
    </xf>
    <xf numFmtId="0" fontId="4" fillId="0" borderId="14" xfId="0" applyFont="1" applyBorder="1" applyAlignment="1">
      <alignment horizontal="center" wrapText="1"/>
    </xf>
    <xf numFmtId="0" fontId="4" fillId="0" borderId="15"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Fill="1" applyBorder="1" applyAlignment="1">
      <alignment horizontal="center" wrapText="1"/>
    </xf>
    <xf numFmtId="0" fontId="4" fillId="0" borderId="14" xfId="0" applyFont="1" applyFill="1" applyBorder="1" applyAlignment="1">
      <alignment horizontal="center" wrapText="1"/>
    </xf>
    <xf numFmtId="0" fontId="4" fillId="0" borderId="15" xfId="0" applyFont="1" applyFill="1" applyBorder="1" applyAlignment="1">
      <alignment horizontal="center" wrapText="1"/>
    </xf>
    <xf numFmtId="0" fontId="5" fillId="0" borderId="14" xfId="0" applyFont="1" applyFill="1" applyBorder="1" applyAlignment="1">
      <alignment horizontal="center" wrapText="1"/>
    </xf>
    <xf numFmtId="0" fontId="5" fillId="0" borderId="15" xfId="0" applyFont="1" applyFill="1" applyBorder="1" applyAlignment="1">
      <alignment horizontal="center"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5" fillId="0" borderId="16" xfId="0" applyFont="1" applyBorder="1" applyAlignment="1">
      <alignment horizontal="center"/>
    </xf>
    <xf numFmtId="0" fontId="4" fillId="0" borderId="15" xfId="0" applyFont="1" applyBorder="1" applyAlignment="1">
      <alignment horizontal="center"/>
    </xf>
    <xf numFmtId="0" fontId="5" fillId="0" borderId="16" xfId="0"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0" fontId="4" fillId="0" borderId="0" xfId="0" applyFont="1" applyAlignment="1">
      <alignment horizontal="center"/>
    </xf>
    <xf numFmtId="0" fontId="52" fillId="0" borderId="0" xfId="0" applyFont="1" applyAlignment="1">
      <alignment horizontal="center"/>
    </xf>
    <xf numFmtId="0" fontId="105" fillId="17" borderId="29" xfId="52" applyFont="1" applyFill="1" applyBorder="1" applyAlignment="1">
      <alignment horizontal="center"/>
    </xf>
    <xf numFmtId="0" fontId="105" fillId="17" borderId="30" xfId="52" applyFont="1" applyFill="1" applyBorder="1" applyAlignment="1">
      <alignment horizontal="center"/>
    </xf>
    <xf numFmtId="0" fontId="105" fillId="17" borderId="31" xfId="52" applyFont="1" applyFill="1" applyBorder="1" applyAlignment="1">
      <alignment horizontal="center"/>
    </xf>
    <xf numFmtId="170" fontId="105" fillId="17" borderId="29" xfId="56" applyFont="1" applyFill="1" applyBorder="1" applyAlignment="1">
      <alignment horizontal="center"/>
    </xf>
    <xf numFmtId="0" fontId="1" fillId="0" borderId="30" xfId="41" applyBorder="1" applyAlignment="1">
      <alignment horizontal="center"/>
    </xf>
    <xf numFmtId="170" fontId="105" fillId="0" borderId="0" xfId="48" applyFont="1" applyAlignment="1">
      <alignment horizontal="center"/>
    </xf>
    <xf numFmtId="170" fontId="60" fillId="0" borderId="0" xfId="48" applyFont="1" applyAlignment="1">
      <alignment horizontal="left" vertical="center" wrapText="1"/>
    </xf>
    <xf numFmtId="0" fontId="1" fillId="0" borderId="31" xfId="41" applyBorder="1"/>
    <xf numFmtId="0" fontId="1" fillId="0" borderId="31" xfId="41" applyBorder="1" applyAlignment="1">
      <alignment horizontal="center"/>
    </xf>
    <xf numFmtId="0" fontId="105" fillId="17" borderId="5" xfId="52" applyFont="1" applyFill="1" applyBorder="1" applyAlignment="1">
      <alignment horizontal="center"/>
    </xf>
    <xf numFmtId="0" fontId="105" fillId="17" borderId="4" xfId="52" applyFont="1" applyFill="1" applyBorder="1" applyAlignment="1">
      <alignment horizontal="center"/>
    </xf>
    <xf numFmtId="0" fontId="105" fillId="17" borderId="13" xfId="52" applyFont="1" applyFill="1" applyBorder="1" applyAlignment="1">
      <alignment horizontal="center"/>
    </xf>
    <xf numFmtId="0" fontId="16" fillId="0" borderId="0" xfId="44" applyFont="1" applyAlignment="1">
      <alignment horizontal="center"/>
    </xf>
    <xf numFmtId="170" fontId="107" fillId="0" borderId="0" xfId="60" applyFont="1" applyAlignment="1">
      <alignment horizontal="center"/>
    </xf>
    <xf numFmtId="0" fontId="59" fillId="0" borderId="0" xfId="0" applyFont="1" applyAlignment="1">
      <alignment horizontal="center"/>
    </xf>
    <xf numFmtId="0" fontId="70" fillId="0" borderId="0" xfId="0" applyFont="1" applyAlignment="1">
      <alignment horizontal="left" vertical="top" wrapText="1"/>
    </xf>
  </cellXfs>
  <cellStyles count="66">
    <cellStyle name="Comma" xfId="1" builtinId="3"/>
    <cellStyle name="Comma [0] 2" xfId="29" xr:uid="{C6DC47A9-03E1-40F4-8D59-33A54FE83F9A}"/>
    <cellStyle name="Comma 10 10 2" xfId="23" xr:uid="{B1FBBBF2-15F9-4E7B-B945-E86A81096B9B}"/>
    <cellStyle name="Comma 10 11" xfId="25" xr:uid="{ACBB846C-A497-4ABA-8BE5-BEE670B9869C}"/>
    <cellStyle name="Comma 10 2 2 3" xfId="65" xr:uid="{30D9F1D2-6C68-471C-979E-98B5030A89B9}"/>
    <cellStyle name="Comma 11 5" xfId="18" xr:uid="{00E0F50A-7D74-4D7A-B003-65954CE12943}"/>
    <cellStyle name="Comma 11 5 2" xfId="40" xr:uid="{5F8C5951-80EC-419F-A998-A1A78C757CED}"/>
    <cellStyle name="Comma 11 5 3" xfId="47" xr:uid="{02C0532E-14CE-4220-9F11-C6F8B6767588}"/>
    <cellStyle name="Comma 158" xfId="37" xr:uid="{A0DF21C3-9398-4D73-94BF-E31F2D6A8FC5}"/>
    <cellStyle name="Comma 2" xfId="10" xr:uid="{00000000-0005-0000-0000-000001000000}"/>
    <cellStyle name="Comma 3" xfId="7" xr:uid="{00000000-0005-0000-0000-000002000000}"/>
    <cellStyle name="Comma 3 2 2 2" xfId="39" xr:uid="{4CAA1CE0-0467-4225-BB4A-2469E2C4A06E}"/>
    <cellStyle name="Comma 4" xfId="38" xr:uid="{5217ED15-B2ED-4391-9490-B27B035D1A8F}"/>
    <cellStyle name="Currency" xfId="2" builtinId="4"/>
    <cellStyle name="Currency [0] 2" xfId="28" xr:uid="{1D81E8DC-A28C-47C9-92A9-BC6726CE8C7B}"/>
    <cellStyle name="Currency 2" xfId="11" xr:uid="{00000000-0005-0000-0000-000004000000}"/>
    <cellStyle name="Currency 2 10" xfId="26" xr:uid="{04D5D954-1820-4BF6-9D63-D427B9DF4018}"/>
    <cellStyle name="Currency 3" xfId="8" xr:uid="{00000000-0005-0000-0000-000005000000}"/>
    <cellStyle name="Currency 4" xfId="30" xr:uid="{868B3564-A7E7-4362-B70D-6979B32FF8B4}"/>
    <cellStyle name="Currency 5" xfId="49" xr:uid="{E377AE25-184C-449E-992C-9DA0ED5D884C}"/>
    <cellStyle name="Normal" xfId="0" builtinId="0"/>
    <cellStyle name="Normal 10 2" xfId="16" xr:uid="{1107EA75-FE61-4C78-B20C-99FCF036C840}"/>
    <cellStyle name="Normal 10 2 18" xfId="27" xr:uid="{8EEAB536-8828-4984-94C0-3E9C82532CBC}"/>
    <cellStyle name="Normal 10 2 2" xfId="17" xr:uid="{A9F240EF-59DA-4335-80F3-5E91B91BE306}"/>
    <cellStyle name="Normal 10 2 2 2" xfId="46" xr:uid="{AE75A3AD-56E2-455B-9E64-CA40E815F92E}"/>
    <cellStyle name="Normal 10 2 2 3" xfId="20" xr:uid="{4336250A-795D-4BEC-8FE1-87F422F44DEA}"/>
    <cellStyle name="Normal 10 3" xfId="60" xr:uid="{765CC47D-3EDB-462D-BFFA-9C72EB42420B}"/>
    <cellStyle name="Normal 10 3 7" xfId="62" xr:uid="{2CC8072F-50BC-46C8-91D5-10F8C8E90E04}"/>
    <cellStyle name="Normal 11" xfId="22" xr:uid="{354A5658-E2F5-428D-AEB6-C0DD15B768F6}"/>
    <cellStyle name="Normal 12 2" xfId="61" xr:uid="{F6C50A99-096A-4600-AF51-4CA93726A3DC}"/>
    <cellStyle name="Normal 156" xfId="19" xr:uid="{6C1E73A1-8B30-4E6E-A711-029683407F31}"/>
    <cellStyle name="Normal 156 2" xfId="41" xr:uid="{70FC9994-4D70-4BB3-9BD1-94D2E5BBA27B}"/>
    <cellStyle name="Normal 2" xfId="9" xr:uid="{00000000-0005-0000-0000-000007000000}"/>
    <cellStyle name="Normal 2 10" xfId="44" xr:uid="{CACE750B-AFF6-42F1-8772-701653B91664}"/>
    <cellStyle name="Normal 2 2" xfId="43" xr:uid="{E4CC35A5-2D9F-4195-8FB2-BA2C670AB842}"/>
    <cellStyle name="Normal 3" xfId="6" xr:uid="{00000000-0005-0000-0000-000008000000}"/>
    <cellStyle name="Normal 3_Attach O, GG, Support -New Method 2-14-11" xfId="54" xr:uid="{B4157073-C88F-4D67-85D0-0B13B974D0E2}"/>
    <cellStyle name="Normal 4" xfId="48" xr:uid="{990B4A5F-BC4E-4BE3-9209-B45E2A5F712C}"/>
    <cellStyle name="Normal 4 22 2" xfId="56" xr:uid="{D8AF70E1-C5D7-4D00-9667-D12CE824F221}"/>
    <cellStyle name="Normal 5" xfId="13" xr:uid="{C831D463-2AF4-46F4-90CB-B2131F228C18}"/>
    <cellStyle name="Normal 5 10" xfId="57" xr:uid="{6779542C-3C76-46DE-BE24-441E3A94DD18}"/>
    <cellStyle name="Normal 5 2" xfId="55" xr:uid="{C86E2AC9-FF74-4BA9-9A40-38683606C15A}"/>
    <cellStyle name="Normal 5 60" xfId="15" xr:uid="{3B5363CD-DCBC-4A22-AD14-C9E4CD9F81C0}"/>
    <cellStyle name="Normal 55 4" xfId="21" xr:uid="{E246B0AA-A71B-4CD7-B3B6-5F30907FBFF4}"/>
    <cellStyle name="Normal 55 4 2" xfId="42" xr:uid="{FF88AE84-6BDA-4EB9-8B78-7D9DB270AC9B}"/>
    <cellStyle name="Normal 6 12" xfId="14" xr:uid="{1EFF9654-FD8D-411E-A297-239361CF5260}"/>
    <cellStyle name="Normal 7" xfId="59" xr:uid="{6CF23449-6ECB-4F6F-B108-B333834F7049}"/>
    <cellStyle name="Normal_1995 FCWS" xfId="3" xr:uid="{00000000-0005-0000-0000-000009000000}"/>
    <cellStyle name="Normal_2002 Sch M Adds and Deducts 8-14-03" xfId="64" xr:uid="{B178FEE6-7A3E-473A-B207-53AC4671D145}"/>
    <cellStyle name="Normal_21 Exh B" xfId="53" xr:uid="{9A699871-0530-40CB-BEF4-3F1483A938DD}"/>
    <cellStyle name="Normal_ATC Projected 2008 Monthly Plant Balances for Attachment O 2 (2)" xfId="51" xr:uid="{E8854AE1-4156-42E0-84C1-DED2717AA615}"/>
    <cellStyle name="Normal_Attachment Os for 2002 True-up" xfId="58" xr:uid="{103E547F-3204-42FB-B130-FDD7CE19F56E}"/>
    <cellStyle name="Normal_FN1 Ratebase Draft SPP template (6-11-04) v2" xfId="4" xr:uid="{00000000-0005-0000-0000-00000A000000}"/>
    <cellStyle name="Normal_Schedule O Info for Mike" xfId="52" xr:uid="{B311B189-F98D-4C4B-8958-F000AD97414B}"/>
    <cellStyle name="Percent" xfId="5" builtinId="5"/>
    <cellStyle name="Percent 10" xfId="50" xr:uid="{87451E31-2A4E-4C3E-93C3-F193DB750EF4}"/>
    <cellStyle name="Percent 2" xfId="12" xr:uid="{00000000-0005-0000-0000-00000C000000}"/>
    <cellStyle name="Percent 2 10" xfId="24" xr:uid="{EF640663-66B7-4B9E-B625-BD08D7885D6E}"/>
    <cellStyle name="Percent 3" xfId="45" xr:uid="{0B925745-5469-4B19-BA70-09EA8F476B4B}"/>
    <cellStyle name="Percent 3 2" xfId="63" xr:uid="{B5C8F5DA-6B22-47E8-8952-9B05DB0C5B97}"/>
    <cellStyle name="PSChar" xfId="31" xr:uid="{0EF09A37-E8DE-44A3-98D3-59723F6A41C4}"/>
    <cellStyle name="PSDate" xfId="32" xr:uid="{8B51A511-5BA7-4571-83E6-A09539974DBD}"/>
    <cellStyle name="PSDec" xfId="33" xr:uid="{9E398A7A-65A4-4B04-B81E-6F30C5B17750}"/>
    <cellStyle name="PSHeading" xfId="34" xr:uid="{21883F36-9634-4D4F-8309-924EE83EA29F}"/>
    <cellStyle name="PSInt" xfId="35" xr:uid="{B1D67382-F1E0-4CFF-8867-4A99F87824EB}"/>
    <cellStyle name="PSSpacer" xfId="36" xr:uid="{E11153FA-C4BE-4362-B58C-9FA97109C4FB}"/>
  </cellStyles>
  <dxfs count="0"/>
  <tableStyles count="0" defaultTableStyle="TableStyleMedium9" defaultPivotStyle="PivotStyleLight16"/>
  <colors>
    <mruColors>
      <color rgb="FF00CC66"/>
      <color rgb="FFFFFF99"/>
      <color rgb="FFFFFF00"/>
      <color rgb="FF66FF66"/>
      <color rgb="FFFF99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117" Type="http://schemas.openxmlformats.org/officeDocument/2006/relationships/externalLink" Target="externalLinks/externalLink96.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112" Type="http://schemas.openxmlformats.org/officeDocument/2006/relationships/externalLink" Target="externalLinks/externalLink91.xml"/><Relationship Id="rId16" Type="http://schemas.openxmlformats.org/officeDocument/2006/relationships/worksheet" Target="worksheets/sheet16.xml"/><Relationship Id="rId107" Type="http://schemas.openxmlformats.org/officeDocument/2006/relationships/externalLink" Target="externalLinks/externalLink8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102" Type="http://schemas.openxmlformats.org/officeDocument/2006/relationships/externalLink" Target="externalLinks/externalLink81.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69.xml"/><Relationship Id="rId95" Type="http://schemas.openxmlformats.org/officeDocument/2006/relationships/externalLink" Target="externalLinks/externalLink7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113" Type="http://schemas.openxmlformats.org/officeDocument/2006/relationships/externalLink" Target="externalLinks/externalLink92.xml"/><Relationship Id="rId118" Type="http://schemas.openxmlformats.org/officeDocument/2006/relationships/externalLink" Target="externalLinks/externalLink97.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59" Type="http://schemas.openxmlformats.org/officeDocument/2006/relationships/externalLink" Target="externalLinks/externalLink38.xml"/><Relationship Id="rId103" Type="http://schemas.openxmlformats.org/officeDocument/2006/relationships/externalLink" Target="externalLinks/externalLink82.xml"/><Relationship Id="rId108" Type="http://schemas.openxmlformats.org/officeDocument/2006/relationships/externalLink" Target="externalLinks/externalLink87.xml"/><Relationship Id="rId54" Type="http://schemas.openxmlformats.org/officeDocument/2006/relationships/externalLink" Target="externalLinks/externalLink33.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91" Type="http://schemas.openxmlformats.org/officeDocument/2006/relationships/externalLink" Target="externalLinks/externalLink70.xml"/><Relationship Id="rId96" Type="http://schemas.openxmlformats.org/officeDocument/2006/relationships/externalLink" Target="externalLinks/externalLink7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49" Type="http://schemas.openxmlformats.org/officeDocument/2006/relationships/externalLink" Target="externalLinks/externalLink28.xml"/><Relationship Id="rId114" Type="http://schemas.openxmlformats.org/officeDocument/2006/relationships/externalLink" Target="externalLinks/externalLink93.xml"/><Relationship Id="rId119" Type="http://schemas.openxmlformats.org/officeDocument/2006/relationships/externalLink" Target="externalLinks/externalLink98.xml"/><Relationship Id="rId44" Type="http://schemas.openxmlformats.org/officeDocument/2006/relationships/externalLink" Target="externalLinks/externalLink23.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109" Type="http://schemas.openxmlformats.org/officeDocument/2006/relationships/externalLink" Target="externalLinks/externalLink8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97" Type="http://schemas.openxmlformats.org/officeDocument/2006/relationships/externalLink" Target="externalLinks/externalLink76.xml"/><Relationship Id="rId104" Type="http://schemas.openxmlformats.org/officeDocument/2006/relationships/externalLink" Target="externalLinks/externalLink83.xml"/><Relationship Id="rId120"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externalLink" Target="externalLinks/externalLink71.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externalLink" Target="externalLinks/externalLink66.xml"/><Relationship Id="rId110" Type="http://schemas.openxmlformats.org/officeDocument/2006/relationships/externalLink" Target="externalLinks/externalLink89.xml"/><Relationship Id="rId115" Type="http://schemas.openxmlformats.org/officeDocument/2006/relationships/externalLink" Target="externalLinks/externalLink94.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56" Type="http://schemas.openxmlformats.org/officeDocument/2006/relationships/externalLink" Target="externalLinks/externalLink35.xml"/><Relationship Id="rId77" Type="http://schemas.openxmlformats.org/officeDocument/2006/relationships/externalLink" Target="externalLinks/externalLink56.xml"/><Relationship Id="rId100" Type="http://schemas.openxmlformats.org/officeDocument/2006/relationships/externalLink" Target="externalLinks/externalLink79.xml"/><Relationship Id="rId105" Type="http://schemas.openxmlformats.org/officeDocument/2006/relationships/externalLink" Target="externalLinks/externalLink84.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93" Type="http://schemas.openxmlformats.org/officeDocument/2006/relationships/externalLink" Target="externalLinks/externalLink72.xml"/><Relationship Id="rId98" Type="http://schemas.openxmlformats.org/officeDocument/2006/relationships/externalLink" Target="externalLinks/externalLink77.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4.xml"/><Relationship Id="rId46" Type="http://schemas.openxmlformats.org/officeDocument/2006/relationships/externalLink" Target="externalLinks/externalLink25.xml"/><Relationship Id="rId67" Type="http://schemas.openxmlformats.org/officeDocument/2006/relationships/externalLink" Target="externalLinks/externalLink46.xml"/><Relationship Id="rId116" Type="http://schemas.openxmlformats.org/officeDocument/2006/relationships/externalLink" Target="externalLinks/externalLink95.xml"/><Relationship Id="rId20" Type="http://schemas.openxmlformats.org/officeDocument/2006/relationships/worksheet" Target="worksheets/sheet20.xml"/><Relationship Id="rId41" Type="http://schemas.openxmlformats.org/officeDocument/2006/relationships/externalLink" Target="externalLinks/externalLink20.xml"/><Relationship Id="rId62" Type="http://schemas.openxmlformats.org/officeDocument/2006/relationships/externalLink" Target="externalLinks/externalLink41.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111" Type="http://schemas.openxmlformats.org/officeDocument/2006/relationships/externalLink" Target="externalLinks/externalLink90.xml"/><Relationship Id="rId15" Type="http://schemas.openxmlformats.org/officeDocument/2006/relationships/worksheet" Target="worksheets/sheet15.xml"/><Relationship Id="rId36" Type="http://schemas.openxmlformats.org/officeDocument/2006/relationships/externalLink" Target="externalLinks/externalLink15.xml"/><Relationship Id="rId57" Type="http://schemas.openxmlformats.org/officeDocument/2006/relationships/externalLink" Target="externalLinks/externalLink36.xml"/><Relationship Id="rId106" Type="http://schemas.openxmlformats.org/officeDocument/2006/relationships/externalLink" Target="externalLinks/externalLink85.xml"/><Relationship Id="rId10" Type="http://schemas.openxmlformats.org/officeDocument/2006/relationships/worksheet" Target="worksheets/sheet10.xml"/><Relationship Id="rId31" Type="http://schemas.openxmlformats.org/officeDocument/2006/relationships/externalLink" Target="externalLinks/externalLink10.xml"/><Relationship Id="rId52" Type="http://schemas.openxmlformats.org/officeDocument/2006/relationships/externalLink" Target="externalLinks/externalLink31.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94" Type="http://schemas.openxmlformats.org/officeDocument/2006/relationships/externalLink" Target="externalLinks/externalLink73.xml"/><Relationship Id="rId99" Type="http://schemas.openxmlformats.org/officeDocument/2006/relationships/externalLink" Target="externalLinks/externalLink78.xml"/><Relationship Id="rId101" Type="http://schemas.openxmlformats.org/officeDocument/2006/relationships/externalLink" Target="externalLinks/externalLink80.xml"/><Relationship Id="rId1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cell r="E225"/>
          <cell r="F225"/>
          <cell r="G225"/>
          <cell r="H225"/>
          <cell r="I225"/>
          <cell r="J225"/>
          <cell r="K225"/>
          <cell r="L225"/>
          <cell r="M225"/>
          <cell r="N225"/>
          <cell r="O225"/>
          <cell r="P225"/>
          <cell r="Q225"/>
          <cell r="R225"/>
        </row>
        <row r="226">
          <cell r="C226">
            <v>0</v>
          </cell>
          <cell r="D226"/>
          <cell r="E226"/>
          <cell r="F226"/>
          <cell r="G226"/>
          <cell r="H226"/>
          <cell r="I226"/>
          <cell r="J226"/>
          <cell r="K226"/>
          <cell r="L226"/>
          <cell r="M226"/>
          <cell r="N226"/>
          <cell r="O226"/>
          <cell r="P226"/>
          <cell r="Q226"/>
          <cell r="R226"/>
        </row>
        <row r="227">
          <cell r="C227">
            <v>0</v>
          </cell>
          <cell r="D227"/>
          <cell r="E227"/>
          <cell r="F227"/>
          <cell r="G227"/>
          <cell r="H227"/>
          <cell r="I227"/>
          <cell r="J227"/>
          <cell r="K227"/>
          <cell r="L227"/>
          <cell r="M227"/>
          <cell r="N227"/>
          <cell r="O227"/>
          <cell r="P227"/>
          <cell r="Q227"/>
          <cell r="R227"/>
        </row>
        <row r="228">
          <cell r="C228">
            <v>0</v>
          </cell>
          <cell r="D228"/>
          <cell r="E228"/>
          <cell r="F228"/>
          <cell r="G228"/>
          <cell r="H228"/>
          <cell r="I228"/>
          <cell r="J228"/>
          <cell r="K228"/>
          <cell r="L228"/>
          <cell r="M228"/>
          <cell r="N228"/>
          <cell r="O228"/>
          <cell r="P228"/>
          <cell r="Q228"/>
          <cell r="R228"/>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cell r="E251"/>
          <cell r="F251"/>
          <cell r="G251"/>
          <cell r="H251"/>
          <cell r="I251"/>
          <cell r="J251"/>
          <cell r="K251"/>
          <cell r="L251"/>
          <cell r="M251"/>
          <cell r="N251"/>
          <cell r="O251"/>
          <cell r="P251"/>
          <cell r="Q251"/>
          <cell r="R251">
            <v>0</v>
          </cell>
        </row>
        <row r="252">
          <cell r="C252">
            <v>0</v>
          </cell>
          <cell r="D252"/>
          <cell r="E252"/>
          <cell r="F252"/>
          <cell r="G252"/>
          <cell r="H252"/>
          <cell r="I252"/>
          <cell r="J252"/>
          <cell r="K252"/>
          <cell r="L252"/>
          <cell r="M252"/>
          <cell r="N252"/>
          <cell r="O252"/>
          <cell r="P252"/>
          <cell r="Q252"/>
          <cell r="R252">
            <v>0</v>
          </cell>
        </row>
        <row r="253">
          <cell r="C253">
            <v>0</v>
          </cell>
          <cell r="D253"/>
          <cell r="E253"/>
          <cell r="F253"/>
          <cell r="G253"/>
          <cell r="H253"/>
          <cell r="I253"/>
          <cell r="J253"/>
          <cell r="K253"/>
          <cell r="L253"/>
          <cell r="M253"/>
          <cell r="N253"/>
          <cell r="O253"/>
          <cell r="P253"/>
          <cell r="Q253"/>
          <cell r="R253">
            <v>0</v>
          </cell>
        </row>
        <row r="254">
          <cell r="C254">
            <v>0</v>
          </cell>
          <cell r="D254"/>
          <cell r="E254"/>
          <cell r="F254"/>
          <cell r="G254"/>
          <cell r="H254"/>
          <cell r="I254"/>
          <cell r="J254"/>
          <cell r="K254"/>
          <cell r="L254"/>
          <cell r="M254"/>
          <cell r="N254"/>
          <cell r="O254"/>
          <cell r="P254"/>
          <cell r="Q254"/>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cell r="E277"/>
          <cell r="F277"/>
          <cell r="G277"/>
          <cell r="H277"/>
          <cell r="I277"/>
          <cell r="J277"/>
          <cell r="K277"/>
          <cell r="L277"/>
          <cell r="M277"/>
          <cell r="N277"/>
          <cell r="O277"/>
          <cell r="P277"/>
          <cell r="Q277"/>
          <cell r="R277">
            <v>0</v>
          </cell>
        </row>
        <row r="278">
          <cell r="C278">
            <v>0</v>
          </cell>
          <cell r="D278"/>
          <cell r="E278"/>
          <cell r="F278"/>
          <cell r="G278"/>
          <cell r="H278"/>
          <cell r="I278"/>
          <cell r="J278"/>
          <cell r="K278"/>
          <cell r="L278"/>
          <cell r="M278"/>
          <cell r="N278"/>
          <cell r="O278"/>
          <cell r="P278"/>
          <cell r="Q278"/>
          <cell r="R278">
            <v>0</v>
          </cell>
        </row>
        <row r="279">
          <cell r="C279">
            <v>0</v>
          </cell>
          <cell r="D279"/>
          <cell r="E279"/>
          <cell r="F279"/>
          <cell r="G279"/>
          <cell r="H279"/>
          <cell r="I279"/>
          <cell r="J279"/>
          <cell r="K279"/>
          <cell r="L279"/>
          <cell r="M279"/>
          <cell r="N279"/>
          <cell r="O279"/>
          <cell r="P279"/>
          <cell r="Q279"/>
          <cell r="R279">
            <v>0</v>
          </cell>
        </row>
        <row r="280">
          <cell r="C280">
            <v>0</v>
          </cell>
          <cell r="D280"/>
          <cell r="E280"/>
          <cell r="F280"/>
          <cell r="G280"/>
          <cell r="H280"/>
          <cell r="I280"/>
          <cell r="J280"/>
          <cell r="K280"/>
          <cell r="L280"/>
          <cell r="M280"/>
          <cell r="N280"/>
          <cell r="O280"/>
          <cell r="P280"/>
          <cell r="Q280"/>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2014 IS Actual"/>
      <sheetName val="Sheet1"/>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efreshError="1">
        <row r="28">
          <cell r="E28">
            <v>38718</v>
          </cell>
        </row>
        <row r="29">
          <cell r="E29">
            <v>38718</v>
          </cell>
        </row>
        <row r="52">
          <cell r="E52">
            <v>1.6906170752324599</v>
          </cell>
        </row>
        <row r="58">
          <cell r="E58" t="str">
            <v>Yes</v>
          </cell>
        </row>
        <row r="59">
          <cell r="E59">
            <v>1</v>
          </cell>
        </row>
      </sheetData>
      <sheetData sheetId="1" refreshError="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efreshError="1">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efreshError="1">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Oct-00"/>
      <sheetName val="CONSOLIDATING W ADJUSTMENTS"/>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IL400"/>
  <sheetViews>
    <sheetView tabSelected="1" topLeftCell="D1" zoomScale="70" zoomScaleNormal="70" workbookViewId="0">
      <selection activeCell="K5" sqref="K5"/>
    </sheetView>
  </sheetViews>
  <sheetFormatPr defaultColWidth="9.1796875" defaultRowHeight="15.5"/>
  <cols>
    <col min="1" max="1" width="13.7265625" style="28" customWidth="1"/>
    <col min="2" max="2" width="5.7265625" style="5" customWidth="1"/>
    <col min="3" max="3" width="66.54296875" style="5" customWidth="1"/>
    <col min="4" max="4" width="34.81640625" style="5" customWidth="1"/>
    <col min="5" max="5" width="25.81640625" style="936" bestFit="1" customWidth="1"/>
    <col min="6" max="6" width="64.54296875" style="14" customWidth="1"/>
    <col min="7" max="7" width="3.81640625" style="14" customWidth="1"/>
    <col min="8" max="8" width="22.1796875" style="14" customWidth="1"/>
    <col min="9" max="10" width="19.7265625" style="17" customWidth="1"/>
    <col min="11" max="11" width="17.54296875" style="17" bestFit="1" customWidth="1"/>
    <col min="12" max="12" width="18.81640625" style="17" bestFit="1" customWidth="1"/>
    <col min="13" max="13" width="17.54296875" style="17" bestFit="1" customWidth="1"/>
    <col min="14" max="16384" width="9.1796875" style="17"/>
  </cols>
  <sheetData>
    <row r="1" spans="1:10">
      <c r="A1" s="101"/>
      <c r="H1" s="31"/>
    </row>
    <row r="2" spans="1:10" ht="18">
      <c r="A2" s="101"/>
      <c r="D2" s="935" t="s">
        <v>564</v>
      </c>
      <c r="H2" s="31"/>
    </row>
    <row r="3" spans="1:10" ht="25.5" customHeight="1" thickBot="1"/>
    <row r="4" spans="1:10" ht="27" customHeight="1">
      <c r="A4" s="392" t="s">
        <v>64</v>
      </c>
      <c r="B4" s="390"/>
      <c r="C4" s="390"/>
      <c r="D4" s="390"/>
      <c r="E4" s="391"/>
      <c r="F4" s="1508" t="s">
        <v>572</v>
      </c>
      <c r="H4" s="1510">
        <v>2022</v>
      </c>
    </row>
    <row r="5" spans="1:10" ht="27" customHeight="1" thickBot="1">
      <c r="A5" s="465" t="s">
        <v>571</v>
      </c>
      <c r="B5" s="630"/>
      <c r="C5" s="630"/>
      <c r="D5" s="630"/>
      <c r="E5" s="819" t="s">
        <v>309</v>
      </c>
      <c r="F5" s="1509"/>
      <c r="H5" s="1511"/>
    </row>
    <row r="6" spans="1:10" s="92" customFormat="1" ht="23.25" customHeight="1">
      <c r="A6" s="107" t="s">
        <v>45</v>
      </c>
      <c r="B6" s="631"/>
      <c r="C6" s="631"/>
      <c r="D6" s="631"/>
      <c r="E6" s="820"/>
      <c r="F6" s="108"/>
      <c r="G6" s="94"/>
      <c r="H6" s="108"/>
    </row>
    <row r="7" spans="1:10" s="666" customFormat="1">
      <c r="A7" s="829" t="s">
        <v>198</v>
      </c>
      <c r="B7" s="634"/>
      <c r="C7" s="634"/>
      <c r="D7" s="634"/>
      <c r="E7" s="1363"/>
      <c r="F7" s="634"/>
      <c r="G7" s="632"/>
      <c r="H7" s="633"/>
    </row>
    <row r="8" spans="1:10">
      <c r="B8" s="14"/>
      <c r="C8" s="14"/>
      <c r="D8" s="14"/>
      <c r="E8" s="1361"/>
      <c r="G8" s="44"/>
      <c r="H8" s="49"/>
    </row>
    <row r="9" spans="1:10">
      <c r="A9" s="1361"/>
      <c r="B9" s="1" t="s">
        <v>204</v>
      </c>
      <c r="C9" s="14"/>
      <c r="D9" s="14"/>
      <c r="E9" s="388"/>
      <c r="F9" s="37"/>
      <c r="G9" s="537"/>
      <c r="H9" s="537"/>
    </row>
    <row r="10" spans="1:10">
      <c r="A10" s="1362">
        <v>1</v>
      </c>
      <c r="B10" s="1362"/>
      <c r="C10" s="14" t="s">
        <v>1568</v>
      </c>
      <c r="D10" s="1364"/>
      <c r="E10" s="1362"/>
      <c r="F10" s="37" t="s">
        <v>161</v>
      </c>
      <c r="G10" s="5"/>
      <c r="H10" s="903">
        <v>6254181</v>
      </c>
      <c r="I10" s="92"/>
      <c r="J10" s="92"/>
    </row>
    <row r="11" spans="1:10">
      <c r="A11" s="1469" t="s">
        <v>1545</v>
      </c>
      <c r="B11" s="1469"/>
      <c r="C11" s="111" t="s">
        <v>1546</v>
      </c>
      <c r="D11" s="1470"/>
      <c r="E11" s="78"/>
      <c r="F11" s="1062" t="s">
        <v>1547</v>
      </c>
      <c r="G11" s="111"/>
      <c r="H11" s="670">
        <v>7381920</v>
      </c>
      <c r="I11" s="92"/>
      <c r="J11" s="92"/>
    </row>
    <row r="12" spans="1:10">
      <c r="A12" s="1469" t="s">
        <v>1548</v>
      </c>
      <c r="B12" s="14"/>
      <c r="C12" s="14" t="s">
        <v>1549</v>
      </c>
      <c r="D12" s="14"/>
      <c r="E12" s="1469"/>
      <c r="F12" s="14" t="s">
        <v>1550</v>
      </c>
      <c r="H12" s="37">
        <f>SUM(H10:H11)</f>
        <v>13636101</v>
      </c>
    </row>
    <row r="13" spans="1:10">
      <c r="A13" s="1362">
        <f>+A10+1</f>
        <v>2</v>
      </c>
      <c r="B13" s="1362"/>
      <c r="C13" s="14" t="s">
        <v>1569</v>
      </c>
      <c r="D13" s="14"/>
      <c r="E13" s="1362"/>
      <c r="F13" s="14" t="s">
        <v>162</v>
      </c>
      <c r="G13" s="5"/>
      <c r="H13" s="903">
        <v>157001793</v>
      </c>
      <c r="I13" s="92"/>
      <c r="J13" s="92"/>
    </row>
    <row r="14" spans="1:10">
      <c r="A14" s="1469" t="s">
        <v>1551</v>
      </c>
      <c r="B14" s="1469"/>
      <c r="C14" s="111" t="s">
        <v>1552</v>
      </c>
      <c r="D14" s="111"/>
      <c r="E14" s="78"/>
      <c r="F14" s="111" t="s">
        <v>1553</v>
      </c>
      <c r="G14" s="111"/>
      <c r="H14" s="670">
        <v>34639658</v>
      </c>
      <c r="I14" s="92"/>
      <c r="J14" s="92"/>
    </row>
    <row r="15" spans="1:10">
      <c r="A15" s="1469" t="s">
        <v>1554</v>
      </c>
      <c r="B15" s="1469"/>
      <c r="C15" s="14" t="s">
        <v>152</v>
      </c>
      <c r="D15" s="14"/>
      <c r="E15" s="1469"/>
      <c r="F15" s="14" t="s">
        <v>1555</v>
      </c>
      <c r="H15" s="903">
        <f>SUM(H13:H14)</f>
        <v>191641451</v>
      </c>
      <c r="I15" s="92"/>
      <c r="J15" s="92"/>
    </row>
    <row r="16" spans="1:10">
      <c r="A16" s="1362">
        <f>+A13+1</f>
        <v>3</v>
      </c>
      <c r="B16" s="1362"/>
      <c r="C16" s="14" t="s">
        <v>1570</v>
      </c>
      <c r="D16" s="14"/>
      <c r="E16" s="1362"/>
      <c r="F16" s="14" t="s">
        <v>163</v>
      </c>
      <c r="G16" s="5"/>
      <c r="H16" s="903">
        <v>62366499</v>
      </c>
      <c r="I16" s="92"/>
      <c r="J16" s="92"/>
    </row>
    <row r="17" spans="1:10">
      <c r="A17" s="1469" t="s">
        <v>1556</v>
      </c>
      <c r="B17" s="1469"/>
      <c r="C17" s="14" t="s">
        <v>1557</v>
      </c>
      <c r="D17" s="14"/>
      <c r="E17" s="1469"/>
      <c r="F17" s="14" t="s">
        <v>1553</v>
      </c>
      <c r="H17" s="903">
        <v>25524979</v>
      </c>
      <c r="I17" s="92"/>
      <c r="J17" s="92"/>
    </row>
    <row r="18" spans="1:10">
      <c r="A18" s="1469">
        <f>+A16+1</f>
        <v>4</v>
      </c>
      <c r="B18" s="1469"/>
      <c r="C18" s="19" t="s">
        <v>292</v>
      </c>
      <c r="D18" s="1365"/>
      <c r="E18" s="636"/>
      <c r="F18" s="1365" t="s">
        <v>1558</v>
      </c>
      <c r="G18" s="19"/>
      <c r="H18" s="1365">
        <f>+H15-H16-H17</f>
        <v>103749973</v>
      </c>
    </row>
    <row r="19" spans="1:10">
      <c r="A19" s="1362"/>
      <c r="B19" s="1362"/>
      <c r="C19" s="14"/>
      <c r="D19" s="14"/>
      <c r="E19" s="388"/>
      <c r="F19" s="1"/>
      <c r="G19" s="5"/>
      <c r="H19" s="537"/>
    </row>
    <row r="20" spans="1:10" ht="16" thickBot="1">
      <c r="A20" s="1362">
        <v>5</v>
      </c>
      <c r="B20" s="10" t="s">
        <v>266</v>
      </c>
      <c r="C20" s="10"/>
      <c r="D20" s="46"/>
      <c r="E20" s="652"/>
      <c r="F20" s="1366" t="s">
        <v>1559</v>
      </c>
      <c r="G20" s="50"/>
      <c r="H20" s="45">
        <f>+H12/H18</f>
        <v>0.13143233299925774</v>
      </c>
      <c r="I20" s="92"/>
      <c r="J20" s="92"/>
    </row>
    <row r="21" spans="1:10" ht="16" thickTop="1">
      <c r="A21" s="1362"/>
      <c r="B21" s="1362"/>
      <c r="C21" s="1"/>
      <c r="D21" s="14"/>
      <c r="E21" s="388"/>
      <c r="G21" s="5"/>
      <c r="H21" s="8"/>
    </row>
    <row r="22" spans="1:10">
      <c r="A22" s="1362"/>
      <c r="B22" s="1" t="s">
        <v>286</v>
      </c>
      <c r="C22" s="14"/>
      <c r="D22" s="14"/>
      <c r="E22" s="1362"/>
    </row>
    <row r="23" spans="1:10">
      <c r="A23" s="1362">
        <f>+A20+1</f>
        <v>6</v>
      </c>
      <c r="B23" s="14"/>
      <c r="C23" s="14" t="s">
        <v>302</v>
      </c>
      <c r="D23" s="14"/>
      <c r="E23" s="1367"/>
      <c r="F23" s="17" t="s">
        <v>1414</v>
      </c>
      <c r="H23" s="602">
        <f>'9A - Gross Plant &amp; ARO'!O24</f>
        <v>9670058346.6184616</v>
      </c>
      <c r="I23" s="92"/>
      <c r="J23" s="92"/>
    </row>
    <row r="24" spans="1:10">
      <c r="A24" s="1362">
        <f>+A23+1</f>
        <v>7</v>
      </c>
      <c r="B24" s="14"/>
      <c r="C24" s="14" t="s">
        <v>199</v>
      </c>
      <c r="D24" s="14"/>
      <c r="E24" s="1367" t="str">
        <f>"(Note "&amp;B$315&amp;")"</f>
        <v>(Note A)</v>
      </c>
      <c r="F24" s="673" t="str">
        <f>"(Line "&amp;A$50&amp;")"</f>
        <v>(Line 24)</v>
      </c>
      <c r="H24" s="481">
        <f>+H50</f>
        <v>879344995.49712694</v>
      </c>
      <c r="I24" s="92"/>
      <c r="J24" s="92"/>
    </row>
    <row r="25" spans="1:10">
      <c r="A25" s="1362">
        <f>+A24+1</f>
        <v>8</v>
      </c>
      <c r="B25" s="14"/>
      <c r="C25" s="19" t="s">
        <v>203</v>
      </c>
      <c r="D25" s="19"/>
      <c r="E25" s="74"/>
      <c r="F25" s="1397" t="str">
        <f>"(Sum Lines "&amp;A23&amp;" &amp; "&amp;A24&amp;")"</f>
        <v>(Sum Lines 6 &amp; 7)</v>
      </c>
      <c r="G25" s="19"/>
      <c r="H25" s="603">
        <f>SUM(H23:H24)</f>
        <v>10549403342.115589</v>
      </c>
      <c r="I25" s="92"/>
      <c r="J25" s="92"/>
    </row>
    <row r="26" spans="1:10">
      <c r="A26" s="1362"/>
      <c r="B26" s="14"/>
      <c r="C26" s="14"/>
      <c r="D26" s="14"/>
      <c r="E26" s="1362"/>
      <c r="F26" s="17"/>
      <c r="H26" s="481"/>
    </row>
    <row r="27" spans="1:10">
      <c r="A27" s="1362">
        <f>+A25+1</f>
        <v>9</v>
      </c>
      <c r="B27" s="14"/>
      <c r="C27" s="14" t="s">
        <v>150</v>
      </c>
      <c r="D27" s="14"/>
      <c r="E27" s="1362"/>
      <c r="F27" s="17" t="s">
        <v>1267</v>
      </c>
      <c r="H27" s="602">
        <f>+'9A - Gross Plant &amp; ARO'!C64</f>
        <v>3178448099.8453851</v>
      </c>
      <c r="I27" s="92"/>
      <c r="J27" s="92"/>
    </row>
    <row r="28" spans="1:10">
      <c r="A28" s="1362">
        <f>+A27+1</f>
        <v>10</v>
      </c>
      <c r="B28" s="14"/>
      <c r="C28" s="14" t="s">
        <v>310</v>
      </c>
      <c r="D28" s="14"/>
      <c r="E28" s="1367" t="str">
        <f>"(Note "&amp;B$315&amp;")"</f>
        <v>(Note A)</v>
      </c>
      <c r="F28" s="608" t="s">
        <v>1273</v>
      </c>
      <c r="H28" s="602">
        <f>+'9 - Rate Base'!I26</f>
        <v>72770172.539230764</v>
      </c>
      <c r="I28" s="92"/>
      <c r="J28" s="92"/>
    </row>
    <row r="29" spans="1:10">
      <c r="A29" s="1362">
        <f>+A28+1</f>
        <v>11</v>
      </c>
      <c r="B29" s="14"/>
      <c r="C29" s="14" t="s">
        <v>282</v>
      </c>
      <c r="D29" s="14"/>
      <c r="E29" s="1367" t="str">
        <f>"(Note "&amp;B$315&amp;")"</f>
        <v>(Note A)</v>
      </c>
      <c r="F29" s="608" t="s">
        <v>1268</v>
      </c>
      <c r="H29" s="602">
        <f>+'9 - Rate Base'!J26</f>
        <v>221355672.60130206</v>
      </c>
      <c r="I29" s="92"/>
      <c r="J29" s="92"/>
    </row>
    <row r="30" spans="1:10">
      <c r="A30" s="1362">
        <f>+A29+1</f>
        <v>12</v>
      </c>
      <c r="B30" s="14"/>
      <c r="C30" s="14" t="s">
        <v>311</v>
      </c>
      <c r="D30" s="14"/>
      <c r="E30" s="1367" t="str">
        <f>"(Note "&amp;B$315&amp;")"</f>
        <v>(Note A)</v>
      </c>
      <c r="F30" s="608" t="s">
        <v>1269</v>
      </c>
      <c r="H30" s="602">
        <f>+'9 - Rate Base'!H26</f>
        <v>96819734.06663464</v>
      </c>
      <c r="I30" s="92"/>
      <c r="J30" s="92"/>
    </row>
    <row r="31" spans="1:10">
      <c r="A31" s="1362">
        <f>+A30+1</f>
        <v>13</v>
      </c>
      <c r="B31" s="14"/>
      <c r="C31" s="19" t="s">
        <v>202</v>
      </c>
      <c r="D31" s="19"/>
      <c r="E31" s="74"/>
      <c r="F31" s="1397" t="str">
        <f>"(Sum Lines "&amp;A27&amp;" to "&amp;A30&amp;")"</f>
        <v>(Sum Lines 9 to 12)</v>
      </c>
      <c r="G31" s="19"/>
      <c r="H31" s="603">
        <f>SUM(H27:H30)</f>
        <v>3569393679.0525527</v>
      </c>
      <c r="I31" s="92"/>
      <c r="J31" s="92"/>
    </row>
    <row r="32" spans="1:10" ht="17.5" customHeight="1">
      <c r="A32" s="1362"/>
      <c r="B32" s="14"/>
      <c r="C32" s="14"/>
      <c r="D32" s="14"/>
      <c r="E32" s="1362"/>
      <c r="F32" s="608"/>
      <c r="H32" s="37"/>
    </row>
    <row r="33" spans="1:10">
      <c r="A33" s="1362">
        <f>+A31+1</f>
        <v>14</v>
      </c>
      <c r="B33" s="14"/>
      <c r="C33" s="19" t="s">
        <v>278</v>
      </c>
      <c r="D33" s="19"/>
      <c r="E33" s="74"/>
      <c r="F33" s="1397" t="str">
        <f>"(Line "&amp;A25&amp;" - "&amp;A31&amp;")"</f>
        <v>(Line 8 - 13)</v>
      </c>
      <c r="G33" s="19"/>
      <c r="H33" s="635">
        <f>+H25-H31</f>
        <v>6980009663.063036</v>
      </c>
      <c r="I33" s="92"/>
      <c r="J33" s="92"/>
    </row>
    <row r="34" spans="1:10">
      <c r="A34" s="1362"/>
      <c r="B34" s="14"/>
      <c r="C34" s="14"/>
      <c r="D34" s="14"/>
      <c r="E34" s="1362"/>
      <c r="F34" s="17"/>
    </row>
    <row r="35" spans="1:10">
      <c r="A35" s="1362">
        <f>+A33+1</f>
        <v>15</v>
      </c>
      <c r="B35" s="14"/>
      <c r="C35" s="14" t="s">
        <v>200</v>
      </c>
      <c r="D35" s="14"/>
      <c r="E35" s="1362"/>
      <c r="F35" s="673" t="str">
        <f>"(Line "&amp;A57&amp;" - Line "&amp;A55&amp;")"</f>
        <v>(Line 29 - Line 28)</v>
      </c>
      <c r="H35" s="37">
        <f>+H57-H55</f>
        <v>2512813646.3115435</v>
      </c>
      <c r="I35" s="92"/>
      <c r="J35" s="92"/>
    </row>
    <row r="36" spans="1:10" ht="16" thickBot="1">
      <c r="A36" s="1362">
        <f>+A35+1</f>
        <v>16</v>
      </c>
      <c r="B36" s="10" t="s">
        <v>135</v>
      </c>
      <c r="C36" s="10"/>
      <c r="D36" s="46"/>
      <c r="E36" s="75"/>
      <c r="F36" s="1398" t="str">
        <f>"(Line "&amp;A35&amp;" / "&amp;A25&amp;")"</f>
        <v>(Line 15 / 8)</v>
      </c>
      <c r="G36" s="46"/>
      <c r="H36" s="45">
        <f>+H35/(H25)</f>
        <v>0.2381948594457306</v>
      </c>
    </row>
    <row r="37" spans="1:10" ht="16" thickTop="1">
      <c r="A37" s="1362"/>
      <c r="B37" s="14"/>
      <c r="C37" s="14"/>
      <c r="D37" s="14"/>
      <c r="E37" s="1362"/>
      <c r="F37" s="92"/>
    </row>
    <row r="38" spans="1:10">
      <c r="A38" s="1362">
        <f>+A36+1</f>
        <v>17</v>
      </c>
      <c r="B38" s="1362"/>
      <c r="C38" s="14" t="s">
        <v>201</v>
      </c>
      <c r="D38" s="14"/>
      <c r="E38" s="388"/>
      <c r="F38" s="673" t="str">
        <f>"(Line "&amp;A73&amp;" - Line "&amp;A55&amp;")"</f>
        <v>(Line 39 - Line 28)</v>
      </c>
      <c r="G38" s="5"/>
      <c r="H38" s="37">
        <f>+H73-H55</f>
        <v>1940677479.3959415</v>
      </c>
      <c r="I38" s="92"/>
      <c r="J38" s="92"/>
    </row>
    <row r="39" spans="1:10" ht="16" thickBot="1">
      <c r="A39" s="1362">
        <f>+A38+1</f>
        <v>18</v>
      </c>
      <c r="B39" s="10" t="s">
        <v>279</v>
      </c>
      <c r="C39" s="10"/>
      <c r="D39" s="46"/>
      <c r="E39" s="75"/>
      <c r="F39" s="1366" t="str">
        <f>"(Line "&amp;A38&amp;" / "&amp;A33&amp;")"</f>
        <v>(Line 17 / 14)</v>
      </c>
      <c r="G39" s="46"/>
      <c r="H39" s="45">
        <f>+H38/H33</f>
        <v>0.27803363792827679</v>
      </c>
      <c r="I39" s="92"/>
      <c r="J39" s="92"/>
    </row>
    <row r="40" spans="1:10" ht="16" thickTop="1">
      <c r="B40" s="1362"/>
      <c r="C40" s="1"/>
      <c r="D40" s="14"/>
      <c r="E40" s="388"/>
      <c r="G40" s="5"/>
      <c r="H40" s="8"/>
    </row>
    <row r="41" spans="1:10" s="666" customFormat="1">
      <c r="A41" s="829" t="s">
        <v>277</v>
      </c>
      <c r="B41" s="634"/>
      <c r="C41" s="634"/>
      <c r="D41" s="634"/>
      <c r="E41" s="1363"/>
      <c r="F41" s="634"/>
      <c r="G41" s="632"/>
      <c r="H41" s="633"/>
    </row>
    <row r="42" spans="1:10">
      <c r="A42" s="1368"/>
      <c r="B42" s="1369"/>
      <c r="C42" s="14"/>
      <c r="D42" s="14"/>
      <c r="E42" s="1361"/>
      <c r="G42" s="44"/>
      <c r="H42" s="49"/>
    </row>
    <row r="43" spans="1:10">
      <c r="A43" s="1362"/>
      <c r="B43" s="1" t="s">
        <v>236</v>
      </c>
      <c r="C43" s="14"/>
      <c r="D43" s="14"/>
      <c r="E43" s="388"/>
      <c r="F43" s="37"/>
      <c r="G43" s="12"/>
      <c r="H43" s="537"/>
    </row>
    <row r="44" spans="1:10" ht="31">
      <c r="A44" s="1362">
        <f>+A39+1</f>
        <v>19</v>
      </c>
      <c r="B44" s="1362"/>
      <c r="C44" s="17" t="s">
        <v>271</v>
      </c>
      <c r="D44" s="17"/>
      <c r="E44" s="73"/>
      <c r="F44" s="1356" t="s">
        <v>1453</v>
      </c>
      <c r="G44" s="5"/>
      <c r="H44" s="602">
        <f>+'9 - Rate Base'!C26+'9A - Gross Plant &amp; ARO'!G24</f>
        <v>2357917522.8346162</v>
      </c>
      <c r="I44" s="92"/>
      <c r="J44" s="92"/>
    </row>
    <row r="45" spans="1:10" ht="15.75" customHeight="1">
      <c r="A45" s="1370">
        <f>+A44+1</f>
        <v>20</v>
      </c>
      <c r="B45" s="1362"/>
      <c r="C45" s="17" t="s">
        <v>1415</v>
      </c>
      <c r="D45" s="89" t="s">
        <v>1415</v>
      </c>
      <c r="E45" s="608"/>
      <c r="F45" s="27"/>
      <c r="G45" s="5"/>
      <c r="H45" s="602">
        <v>0</v>
      </c>
      <c r="I45" s="92"/>
      <c r="J45" s="92"/>
    </row>
    <row r="46" spans="1:10">
      <c r="A46" s="1362">
        <f>+A45+1</f>
        <v>21</v>
      </c>
      <c r="B46" s="1362"/>
      <c r="C46" s="314" t="s">
        <v>1415</v>
      </c>
      <c r="D46" s="88" t="s">
        <v>1415</v>
      </c>
      <c r="E46" s="88"/>
      <c r="F46" s="40"/>
      <c r="G46" s="41"/>
      <c r="H46" s="639">
        <v>0</v>
      </c>
      <c r="I46" s="92"/>
      <c r="J46" s="92"/>
    </row>
    <row r="47" spans="1:10">
      <c r="A47" s="1362">
        <f>+A46+1</f>
        <v>22</v>
      </c>
      <c r="B47" s="1362"/>
      <c r="C47" s="92" t="s">
        <v>526</v>
      </c>
      <c r="D47" s="17"/>
      <c r="E47" s="73"/>
      <c r="F47" s="608" t="str">
        <f>"(Line "&amp;A44&amp;")"</f>
        <v>(Line 19)</v>
      </c>
      <c r="G47" s="5"/>
      <c r="H47" s="393">
        <f>+H44-H45+H46</f>
        <v>2357917522.8346162</v>
      </c>
      <c r="I47" s="92"/>
      <c r="J47" s="92"/>
    </row>
    <row r="48" spans="1:10">
      <c r="A48" s="1362"/>
      <c r="B48" s="1362"/>
      <c r="C48" s="17"/>
      <c r="D48" s="17"/>
      <c r="E48" s="39"/>
      <c r="F48" s="608"/>
      <c r="G48" s="16"/>
      <c r="H48" s="481"/>
    </row>
    <row r="49" spans="1:10" ht="31">
      <c r="A49" s="1362">
        <f>+A47+1</f>
        <v>23</v>
      </c>
      <c r="B49" s="1362"/>
      <c r="C49" s="17" t="s">
        <v>270</v>
      </c>
      <c r="D49" s="17"/>
      <c r="E49" s="39"/>
      <c r="F49" s="1356" t="s">
        <v>1472</v>
      </c>
      <c r="G49" s="5"/>
      <c r="H49" s="602">
        <f>+'9 - Rate Base'!D26-'9A - Gross Plant &amp; ARO'!R24-'9A - Gross Plant &amp; ARO'!S24</f>
        <v>299178735.62923074</v>
      </c>
      <c r="I49" s="92"/>
      <c r="J49" s="92"/>
    </row>
    <row r="50" spans="1:10">
      <c r="A50" s="1362">
        <f>+A49+1</f>
        <v>24</v>
      </c>
      <c r="B50" s="1362"/>
      <c r="C50" s="17" t="s">
        <v>206</v>
      </c>
      <c r="D50" s="17"/>
      <c r="E50" s="73" t="str">
        <f>"(Notes "&amp;B$315&amp;")"</f>
        <v>(Notes A)</v>
      </c>
      <c r="F50" s="673" t="s">
        <v>1270</v>
      </c>
      <c r="G50" s="5"/>
      <c r="H50" s="602">
        <f>+'9 - Rate Base'!E26</f>
        <v>879344995.49712694</v>
      </c>
      <c r="I50" s="92"/>
      <c r="J50" s="92"/>
    </row>
    <row r="51" spans="1:10">
      <c r="A51" s="1362">
        <f>+A50+1</f>
        <v>25</v>
      </c>
      <c r="B51" s="1362"/>
      <c r="C51" s="20" t="s">
        <v>273</v>
      </c>
      <c r="D51" s="20"/>
      <c r="E51" s="77"/>
      <c r="F51" s="608" t="str">
        <f>"(Line "&amp;A49&amp;" + "&amp;A50&amp;")"</f>
        <v>(Line 23 + 24)</v>
      </c>
      <c r="G51" s="21"/>
      <c r="H51" s="635">
        <f>SUM(H49:H50)</f>
        <v>1178523731.1263576</v>
      </c>
      <c r="I51" s="92"/>
      <c r="J51" s="92"/>
    </row>
    <row r="52" spans="1:10">
      <c r="A52" s="1362">
        <f>+A51+1</f>
        <v>26</v>
      </c>
      <c r="B52" s="1362"/>
      <c r="C52" s="27" t="s">
        <v>287</v>
      </c>
      <c r="D52" s="17"/>
      <c r="E52" s="637"/>
      <c r="F52" s="673" t="str">
        <f>"(Line "&amp;A$20&amp;")"</f>
        <v>(Line 5)</v>
      </c>
      <c r="G52" s="3"/>
      <c r="H52" s="641">
        <f>+H20</f>
        <v>0.13143233299925774</v>
      </c>
      <c r="I52" s="92"/>
      <c r="J52" s="92"/>
    </row>
    <row r="53" spans="1:10">
      <c r="A53" s="1362">
        <f>+A52+1</f>
        <v>27</v>
      </c>
      <c r="B53" s="14"/>
      <c r="C53" s="646" t="s">
        <v>234</v>
      </c>
      <c r="D53" s="20"/>
      <c r="E53" s="651"/>
      <c r="F53" s="608" t="str">
        <f>"(Line "&amp;A51&amp;" * "&amp;A52&amp;")"</f>
        <v>(Line 25 * 26)</v>
      </c>
      <c r="G53" s="19"/>
      <c r="H53" s="126">
        <f>+H52*H51</f>
        <v>154896123.47692713</v>
      </c>
      <c r="I53" s="92"/>
      <c r="J53" s="92"/>
    </row>
    <row r="54" spans="1:10">
      <c r="A54" s="1362"/>
      <c r="B54" s="14"/>
      <c r="C54" s="92"/>
      <c r="D54" s="17"/>
      <c r="E54" s="131"/>
      <c r="F54" s="17"/>
      <c r="H54" s="478"/>
    </row>
    <row r="55" spans="1:10">
      <c r="A55" s="1362">
        <f>+A53+1</f>
        <v>28</v>
      </c>
      <c r="B55" s="1362"/>
      <c r="C55" s="646" t="s">
        <v>383</v>
      </c>
      <c r="D55" s="1399"/>
      <c r="E55" s="73" t="str">
        <f>"(Note "&amp;B$319&amp;")"</f>
        <v>(Note C)</v>
      </c>
      <c r="F55" s="1397" t="s">
        <v>1271</v>
      </c>
      <c r="G55" s="21"/>
      <c r="H55" s="127">
        <f>+'9 - Rate Base'!D47</f>
        <v>5081405.3107692301</v>
      </c>
      <c r="I55" s="605"/>
      <c r="J55" s="605"/>
    </row>
    <row r="56" spans="1:10">
      <c r="A56" s="1362"/>
      <c r="B56" s="14"/>
      <c r="C56" s="92"/>
      <c r="D56" s="17"/>
      <c r="E56" s="39"/>
      <c r="F56" s="17"/>
      <c r="H56" s="478"/>
    </row>
    <row r="57" spans="1:10" s="92" customFormat="1" ht="16" thickBot="1">
      <c r="A57" s="1362">
        <f>+A55+1</f>
        <v>29</v>
      </c>
      <c r="B57" s="10" t="s">
        <v>205</v>
      </c>
      <c r="C57" s="496"/>
      <c r="D57" s="496"/>
      <c r="E57" s="497"/>
      <c r="F57" s="498" t="str">
        <f>"(Line "&amp;A47&amp;" + "&amp;A53&amp;" + "&amp;A55&amp;")"</f>
        <v>(Line 22 + 27 + 28)</v>
      </c>
      <c r="G57" s="10"/>
      <c r="H57" s="11">
        <f>SUM(H47,H53,H55)</f>
        <v>2517895051.6223125</v>
      </c>
    </row>
    <row r="58" spans="1:10" ht="16" thickTop="1">
      <c r="A58" s="1362"/>
      <c r="B58" s="14"/>
      <c r="C58" s="17"/>
      <c r="D58" s="17"/>
      <c r="E58" s="39"/>
      <c r="F58" s="17"/>
    </row>
    <row r="59" spans="1:10">
      <c r="A59" s="1362"/>
      <c r="B59" s="1" t="s">
        <v>195</v>
      </c>
      <c r="C59" s="92"/>
      <c r="D59" s="608"/>
      <c r="E59" s="637"/>
      <c r="F59" s="608"/>
      <c r="G59" s="642"/>
      <c r="H59" s="537"/>
    </row>
    <row r="60" spans="1:10">
      <c r="A60" s="1362"/>
      <c r="B60" s="14"/>
      <c r="C60" s="17"/>
      <c r="D60" s="17"/>
      <c r="E60" s="39"/>
      <c r="F60" s="608"/>
      <c r="G60" s="537"/>
      <c r="H60" s="537"/>
    </row>
    <row r="61" spans="1:10" ht="31">
      <c r="A61" s="1362">
        <f>+A57+1</f>
        <v>30</v>
      </c>
      <c r="B61" s="1362"/>
      <c r="C61" s="17" t="s">
        <v>301</v>
      </c>
      <c r="D61" s="17"/>
      <c r="E61" s="73"/>
      <c r="F61" s="1356" t="s">
        <v>1454</v>
      </c>
      <c r="G61" s="5"/>
      <c r="H61" s="602">
        <f>+'9 - Rate Base'!F26+'9A - Gross Plant &amp; ARO'!H64</f>
        <v>519824602.56615382</v>
      </c>
      <c r="I61" s="92"/>
      <c r="J61" s="92"/>
    </row>
    <row r="62" spans="1:10">
      <c r="A62" s="1362"/>
      <c r="B62" s="1362"/>
      <c r="C62" s="17"/>
      <c r="D62" s="17"/>
      <c r="E62" s="39"/>
      <c r="F62" s="608"/>
      <c r="G62" s="16"/>
      <c r="H62" s="481"/>
    </row>
    <row r="63" spans="1:10">
      <c r="A63" s="1362">
        <f>+A61+1</f>
        <v>31</v>
      </c>
      <c r="B63" s="1362"/>
      <c r="C63" s="17" t="s">
        <v>344</v>
      </c>
      <c r="D63" s="17"/>
      <c r="E63" s="39"/>
      <c r="F63" s="608" t="s">
        <v>1272</v>
      </c>
      <c r="G63" s="5"/>
      <c r="H63" s="602">
        <f>+'9 - Rate Base'!G26</f>
        <v>44462963.980000004</v>
      </c>
      <c r="I63" s="92"/>
      <c r="J63" s="92"/>
    </row>
    <row r="64" spans="1:10" ht="31">
      <c r="A64" s="1362">
        <f t="shared" ref="A64:A69" si="0">+A63+1</f>
        <v>32</v>
      </c>
      <c r="B64" s="1362"/>
      <c r="C64" s="17" t="str">
        <f>+C28</f>
        <v>Accumulated Intangible Amortization</v>
      </c>
      <c r="D64" s="17"/>
      <c r="E64" s="39"/>
      <c r="F64" s="1356" t="s">
        <v>1473</v>
      </c>
      <c r="G64" s="5"/>
      <c r="H64" s="602">
        <f>+'9 - Rate Base'!I26-'9A - Gross Plant &amp; ARO'!G64-'9A - Gross Plant &amp; ARO'!H64</f>
        <v>35373010.233076915</v>
      </c>
      <c r="I64" s="92"/>
      <c r="J64" s="92"/>
    </row>
    <row r="65" spans="1:12">
      <c r="A65" s="1362">
        <f t="shared" si="0"/>
        <v>33</v>
      </c>
      <c r="B65" s="1362"/>
      <c r="C65" s="17" t="str">
        <f>+C29</f>
        <v>Accumulated Common Amortization - Electric</v>
      </c>
      <c r="D65" s="17"/>
      <c r="E65" s="73"/>
      <c r="F65" s="608" t="str">
        <f>"(Line "&amp;A$29&amp;")"</f>
        <v>(Line 11)</v>
      </c>
      <c r="G65" s="5"/>
      <c r="H65" s="602">
        <f>+H29</f>
        <v>221355672.60130206</v>
      </c>
    </row>
    <row r="66" spans="1:12">
      <c r="A66" s="1362">
        <f t="shared" si="0"/>
        <v>34</v>
      </c>
      <c r="B66" s="1362"/>
      <c r="C66" s="314" t="s">
        <v>233</v>
      </c>
      <c r="D66" s="314"/>
      <c r="E66" s="88" t="str">
        <f>"(Notes "&amp;B$315&amp;")"</f>
        <v>(Notes A)</v>
      </c>
      <c r="F66" s="673" t="str">
        <f>"(Line "&amp;A$30&amp;")"</f>
        <v>(Line 12)</v>
      </c>
      <c r="G66" s="5"/>
      <c r="H66" s="639">
        <f>+H30</f>
        <v>96819734.06663464</v>
      </c>
      <c r="I66" s="92"/>
      <c r="J66" s="92"/>
    </row>
    <row r="67" spans="1:12">
      <c r="A67" s="1362">
        <f t="shared" si="0"/>
        <v>35</v>
      </c>
      <c r="B67" s="1362"/>
      <c r="C67" s="17" t="s">
        <v>202</v>
      </c>
      <c r="D67" s="17"/>
      <c r="E67" s="637"/>
      <c r="F67" s="608" t="str">
        <f>"(Sum Lines "&amp;A63&amp;" to "&amp;A66&amp;")"</f>
        <v>(Sum Lines 31 to 34)</v>
      </c>
      <c r="G67" s="478"/>
      <c r="H67" s="478">
        <f>SUM(H63:H66)</f>
        <v>398011380.88101363</v>
      </c>
      <c r="I67" s="92"/>
      <c r="J67" s="92"/>
    </row>
    <row r="68" spans="1:12">
      <c r="A68" s="1362">
        <f t="shared" si="0"/>
        <v>36</v>
      </c>
      <c r="B68" s="1362"/>
      <c r="C68" s="17" t="str">
        <f>+C52</f>
        <v>Wage &amp; Salary Allocation Factor</v>
      </c>
      <c r="D68" s="17"/>
      <c r="E68" s="637"/>
      <c r="F68" s="673" t="str">
        <f>"(Line "&amp;A$20&amp;")"</f>
        <v>(Line 5)</v>
      </c>
      <c r="G68" s="478"/>
      <c r="H68" s="643">
        <f>+H20</f>
        <v>0.13143233299925774</v>
      </c>
      <c r="I68" s="92"/>
      <c r="J68" s="92"/>
    </row>
    <row r="69" spans="1:12">
      <c r="A69" s="1362">
        <f t="shared" si="0"/>
        <v>37</v>
      </c>
      <c r="B69" s="14"/>
      <c r="C69" s="646" t="s">
        <v>258</v>
      </c>
      <c r="D69" s="20"/>
      <c r="E69" s="77"/>
      <c r="F69" s="608" t="str">
        <f>"(Line "&amp;A67&amp;" * "&amp;A68&amp;")"</f>
        <v>(Line 35 * 36)</v>
      </c>
      <c r="G69" s="19"/>
      <c r="H69" s="126">
        <f>+H68*H67</f>
        <v>52311564.349447794</v>
      </c>
      <c r="I69" s="92"/>
      <c r="J69" s="92"/>
    </row>
    <row r="70" spans="1:12">
      <c r="A70" s="1362"/>
      <c r="B70" s="14"/>
      <c r="C70" s="17"/>
      <c r="D70" s="17"/>
      <c r="E70" s="39"/>
      <c r="F70" s="17"/>
    </row>
    <row r="71" spans="1:12" ht="16" thickBot="1">
      <c r="A71" s="1362">
        <f>+A69+1</f>
        <v>38</v>
      </c>
      <c r="B71" s="10" t="s">
        <v>274</v>
      </c>
      <c r="C71" s="10"/>
      <c r="D71" s="10"/>
      <c r="E71" s="76"/>
      <c r="F71" s="11" t="str">
        <f>"(Line "&amp;A61&amp;" + "&amp;A69&amp;")"</f>
        <v>(Line 30 + 37)</v>
      </c>
      <c r="G71" s="10"/>
      <c r="H71" s="11">
        <f>+H69+H61</f>
        <v>572136166.91560161</v>
      </c>
      <c r="I71" s="92"/>
      <c r="J71" s="92"/>
    </row>
    <row r="72" spans="1:12" ht="16" thickTop="1">
      <c r="A72" s="1362"/>
      <c r="B72" s="14"/>
      <c r="C72" s="14"/>
      <c r="D72" s="14"/>
      <c r="E72" s="1362"/>
    </row>
    <row r="73" spans="1:12" ht="16" thickBot="1">
      <c r="A73" s="1362">
        <f>+A71+1</f>
        <v>39</v>
      </c>
      <c r="B73" s="10" t="s">
        <v>275</v>
      </c>
      <c r="C73" s="10"/>
      <c r="D73" s="10"/>
      <c r="E73" s="76"/>
      <c r="F73" s="11" t="str">
        <f>"(Line "&amp;A57&amp;" - "&amp;A71&amp;")"</f>
        <v>(Line 29 - 38)</v>
      </c>
      <c r="G73" s="10"/>
      <c r="H73" s="11">
        <f>+H57-H71</f>
        <v>1945758884.7067108</v>
      </c>
      <c r="I73" s="92"/>
      <c r="J73" s="92"/>
    </row>
    <row r="74" spans="1:12" ht="16" thickTop="1">
      <c r="A74" s="1362"/>
      <c r="B74" s="14"/>
      <c r="C74" s="14"/>
      <c r="D74" s="14"/>
      <c r="E74" s="1362"/>
    </row>
    <row r="75" spans="1:12" s="666" customFormat="1">
      <c r="A75" s="829" t="s">
        <v>235</v>
      </c>
      <c r="B75" s="634"/>
      <c r="C75" s="634"/>
      <c r="D75" s="634"/>
      <c r="E75" s="1363"/>
      <c r="F75" s="634"/>
      <c r="G75" s="632"/>
      <c r="H75" s="634"/>
    </row>
    <row r="76" spans="1:12">
      <c r="A76" s="644"/>
      <c r="B76" s="645"/>
      <c r="C76" s="645"/>
      <c r="D76" s="645"/>
      <c r="E76" s="1362"/>
    </row>
    <row r="77" spans="1:12">
      <c r="A77" s="1362"/>
      <c r="B77" s="1371" t="s">
        <v>897</v>
      </c>
      <c r="C77" s="14"/>
      <c r="D77" s="14"/>
      <c r="E77" s="31"/>
      <c r="H77" s="537"/>
    </row>
    <row r="78" spans="1:12">
      <c r="A78" s="1362" t="s">
        <v>912</v>
      </c>
      <c r="B78" s="28"/>
      <c r="C78" s="14" t="s">
        <v>913</v>
      </c>
      <c r="D78" s="17" t="str">
        <f>IF('1A - ADIT Summary'!D177="True-Up Adjustment", "Annual Update (True-Up)", "Projected Activity")</f>
        <v>Annual Update (True-Up)</v>
      </c>
      <c r="E78" s="73" t="str">
        <f>"(Note "&amp;$B$353&amp;")"</f>
        <v>(Note W)</v>
      </c>
      <c r="F78" s="608" t="s">
        <v>1530</v>
      </c>
      <c r="H78" s="1063">
        <f>IF('1A - ADIT Summary'!$D$177="True-Up Adjustment", '1A - ADIT Summary'!R38,'1A - ADIT Summary'!L38)</f>
        <v>1715535.4407248311</v>
      </c>
    </row>
    <row r="79" spans="1:12">
      <c r="A79" s="1362" t="s">
        <v>914</v>
      </c>
      <c r="B79" s="28"/>
      <c r="C79" s="14" t="s">
        <v>915</v>
      </c>
      <c r="D79" s="17" t="str">
        <f>D78</f>
        <v>Annual Update (True-Up)</v>
      </c>
      <c r="E79" s="73" t="str">
        <f>"(Note "&amp;$B$353&amp;")"</f>
        <v>(Note W)</v>
      </c>
      <c r="F79" s="608" t="s">
        <v>1531</v>
      </c>
      <c r="H79" s="1063">
        <f>IF('1A - ADIT Summary'!$D$177="True-Up Adjustment", '1A - ADIT Summary'!R71,'1A - ADIT Summary'!L71)</f>
        <v>0</v>
      </c>
      <c r="L79" s="780"/>
    </row>
    <row r="80" spans="1:12">
      <c r="A80" s="1362" t="s">
        <v>916</v>
      </c>
      <c r="B80" s="28"/>
      <c r="C80" s="14" t="s">
        <v>956</v>
      </c>
      <c r="D80" s="17" t="str">
        <f>D79</f>
        <v>Annual Update (True-Up)</v>
      </c>
      <c r="E80" s="73" t="str">
        <f>"(Note "&amp;$B$353&amp;")"</f>
        <v>(Note W)</v>
      </c>
      <c r="F80" s="608" t="s">
        <v>1532</v>
      </c>
      <c r="H80" s="1063">
        <f>IF('1A - ADIT Summary'!$D$177="True-Up Adjustment", '1A - ADIT Summary'!R104,'1A - ADIT Summary'!L104)</f>
        <v>-291471045.08782125</v>
      </c>
      <c r="L80" s="780"/>
    </row>
    <row r="81" spans="1:12">
      <c r="A81" s="1362" t="s">
        <v>917</v>
      </c>
      <c r="B81" s="28"/>
      <c r="C81" s="14" t="s">
        <v>918</v>
      </c>
      <c r="D81" s="17" t="str">
        <f>D80</f>
        <v>Annual Update (True-Up)</v>
      </c>
      <c r="E81" s="73" t="str">
        <f>"(Note "&amp;$B$353&amp;")"</f>
        <v>(Note W)</v>
      </c>
      <c r="F81" s="608" t="s">
        <v>1533</v>
      </c>
      <c r="H81" s="1063">
        <f>IF('1A - ADIT Summary'!$D$177="True-Up Adjustment", '1A - ADIT Summary'!R137,'1A - ADIT Summary'!L137)</f>
        <v>-8593445.6715653967</v>
      </c>
      <c r="L81" s="607"/>
    </row>
    <row r="82" spans="1:12" s="16" customFormat="1">
      <c r="A82" s="1362" t="s">
        <v>919</v>
      </c>
      <c r="B82" s="28"/>
      <c r="C82" s="14" t="s">
        <v>920</v>
      </c>
      <c r="D82" s="314" t="str">
        <f>D81</f>
        <v>Annual Update (True-Up)</v>
      </c>
      <c r="E82" s="73" t="str">
        <f>"(Note "&amp;$B$349&amp;")"</f>
        <v>(Note T)</v>
      </c>
      <c r="F82" s="673" t="s">
        <v>1534</v>
      </c>
      <c r="H82" s="1064">
        <f>IF('1A - ADIT Summary'!$D$177="True-Up Adjustment", '1A - ADIT Summary'!R170,'1A - ADIT Summary'!L170)</f>
        <v>0</v>
      </c>
      <c r="I82" s="17"/>
      <c r="J82" s="17"/>
    </row>
    <row r="83" spans="1:12">
      <c r="A83" s="1362" t="s">
        <v>921</v>
      </c>
      <c r="B83" s="14"/>
      <c r="C83" s="1372" t="s">
        <v>259</v>
      </c>
      <c r="D83" s="20"/>
      <c r="E83" s="77"/>
      <c r="F83" s="608" t="str">
        <f>"(Line "&amp;A78&amp;" +  "&amp;A79&amp;" + "&amp;A80&amp;" + "&amp;A81&amp;" + "&amp;A82&amp;")"</f>
        <v>(Line 40a +  40b + 40c + 40d + 40e)</v>
      </c>
      <c r="G83" s="20"/>
      <c r="H83" s="889">
        <f>H78+H79+H80+H81+H82</f>
        <v>-298348955.31866181</v>
      </c>
      <c r="L83" s="607"/>
    </row>
    <row r="84" spans="1:12">
      <c r="A84" s="1362"/>
      <c r="B84" s="14"/>
      <c r="C84" s="28"/>
      <c r="D84" s="17"/>
      <c r="E84" s="39"/>
      <c r="F84" s="608"/>
      <c r="G84" s="44"/>
      <c r="H84" s="848"/>
      <c r="L84" s="607"/>
    </row>
    <row r="85" spans="1:12">
      <c r="A85" s="1362"/>
      <c r="B85" s="1" t="s">
        <v>976</v>
      </c>
      <c r="C85" s="28"/>
      <c r="D85" s="17"/>
      <c r="E85" s="39"/>
      <c r="F85" s="608"/>
      <c r="G85" s="44"/>
      <c r="H85" s="848"/>
      <c r="L85" s="607"/>
    </row>
    <row r="86" spans="1:12">
      <c r="A86" s="1362" t="s">
        <v>922</v>
      </c>
      <c r="B86" s="14"/>
      <c r="C86" s="28" t="s">
        <v>967</v>
      </c>
      <c r="D86" s="17" t="str">
        <f>D82</f>
        <v>Annual Update (True-Up)</v>
      </c>
      <c r="E86" s="73" t="str">
        <f>"(Note "&amp;$B$362&amp;")"</f>
        <v>(Note X)</v>
      </c>
      <c r="F86" s="608" t="s">
        <v>1535</v>
      </c>
      <c r="G86" s="44"/>
      <c r="H86" s="888">
        <f>IF('1D - ADIT Rate Base Adjustment'!D237="True-Up Adjustment",'1D - ADIT Rate Base Adjustment'!N117,'1D - ADIT Rate Base Adjustment'!H117)</f>
        <v>-65996385.867990628</v>
      </c>
    </row>
    <row r="87" spans="1:12">
      <c r="A87" s="1362" t="s">
        <v>923</v>
      </c>
      <c r="B87" s="14"/>
      <c r="C87" s="1154" t="s">
        <v>968</v>
      </c>
      <c r="D87" s="314" t="str">
        <f>D86</f>
        <v>Annual Update (True-Up)</v>
      </c>
      <c r="E87" s="88" t="str">
        <f>"(Note "&amp;$B$362&amp;")"</f>
        <v>(Note X)</v>
      </c>
      <c r="F87" s="673" t="s">
        <v>1536</v>
      </c>
      <c r="G87" s="314"/>
      <c r="H87" s="890">
        <f>IF('1D - ADIT Rate Base Adjustment'!D237="True-Up Adjustment",'1D - ADIT Rate Base Adjustment'!N230,'1D - ADIT Rate Base Adjustment'!H230)</f>
        <v>0</v>
      </c>
    </row>
    <row r="88" spans="1:12">
      <c r="A88" s="1362">
        <v>42</v>
      </c>
      <c r="B88" s="14"/>
      <c r="C88" s="28" t="s">
        <v>969</v>
      </c>
      <c r="D88" s="17"/>
      <c r="E88" s="39" t="s">
        <v>154</v>
      </c>
      <c r="F88" s="608" t="str">
        <f>"(Line "&amp;A86&amp;" + "&amp;A87&amp;")"</f>
        <v>(Line 41a + 41b)</v>
      </c>
      <c r="G88" s="44"/>
      <c r="H88" s="848">
        <f>H86+H87</f>
        <v>-65996385.867990628</v>
      </c>
    </row>
    <row r="89" spans="1:12">
      <c r="A89" s="1362"/>
      <c r="B89" s="14"/>
      <c r="C89" s="28"/>
      <c r="D89" s="17"/>
      <c r="E89" s="39"/>
      <c r="F89" s="673"/>
      <c r="G89" s="44"/>
      <c r="H89" s="848"/>
    </row>
    <row r="90" spans="1:12">
      <c r="A90" s="1362">
        <v>43</v>
      </c>
      <c r="B90" s="14"/>
      <c r="C90" s="647" t="s">
        <v>924</v>
      </c>
      <c r="D90" s="20"/>
      <c r="E90" s="77"/>
      <c r="F90" s="608" t="str">
        <f>"(Line "&amp;A83&amp;" + "&amp;A88&amp;")"</f>
        <v>(Line 40f + 42)</v>
      </c>
      <c r="G90" s="20"/>
      <c r="H90" s="889">
        <f>H83+H88</f>
        <v>-364345341.18665242</v>
      </c>
    </row>
    <row r="91" spans="1:12">
      <c r="A91" s="1362"/>
      <c r="B91" s="14"/>
      <c r="C91" s="1371"/>
      <c r="D91" s="17"/>
      <c r="E91" s="39"/>
      <c r="F91" s="17"/>
      <c r="G91" s="35"/>
      <c r="H91" s="106"/>
      <c r="K91" s="607"/>
    </row>
    <row r="92" spans="1:12">
      <c r="A92" s="1362"/>
      <c r="B92" s="1" t="s">
        <v>77</v>
      </c>
      <c r="C92" s="1371"/>
      <c r="D92" s="17"/>
      <c r="E92" s="39"/>
      <c r="F92" s="608"/>
      <c r="G92" s="44"/>
      <c r="H92" s="429"/>
      <c r="K92" s="780"/>
    </row>
    <row r="93" spans="1:12">
      <c r="A93" s="1362">
        <v>44</v>
      </c>
      <c r="B93" s="14"/>
      <c r="C93" s="1371" t="s">
        <v>574</v>
      </c>
      <c r="D93" s="17"/>
      <c r="E93" s="39" t="s">
        <v>78</v>
      </c>
      <c r="F93" s="17" t="s">
        <v>55</v>
      </c>
      <c r="G93" s="44"/>
      <c r="H93" s="429">
        <f>+'5 - Cost Support'!I151</f>
        <v>0</v>
      </c>
      <c r="I93" s="92"/>
      <c r="J93" s="92"/>
    </row>
    <row r="94" spans="1:12">
      <c r="A94" s="1362"/>
      <c r="B94" s="14"/>
      <c r="C94" s="1371"/>
      <c r="D94" s="17"/>
      <c r="E94" s="39"/>
      <c r="F94" s="17"/>
      <c r="G94" s="44"/>
      <c r="H94" s="429"/>
    </row>
    <row r="95" spans="1:12">
      <c r="A95" s="1362"/>
      <c r="B95" s="1" t="s">
        <v>643</v>
      </c>
      <c r="C95" s="1371"/>
      <c r="D95" s="17"/>
      <c r="E95" s="39"/>
      <c r="F95" s="17"/>
      <c r="G95" s="494"/>
      <c r="H95" s="495"/>
    </row>
    <row r="96" spans="1:12">
      <c r="A96" s="1362" t="s">
        <v>583</v>
      </c>
      <c r="B96" s="14"/>
      <c r="C96" s="28" t="s">
        <v>644</v>
      </c>
      <c r="D96" s="17"/>
      <c r="E96" s="73" t="str">
        <f>"(Note "&amp;$B$343&amp;")"</f>
        <v>(Note R)</v>
      </c>
      <c r="F96" s="608" t="s">
        <v>1274</v>
      </c>
      <c r="G96" s="494"/>
      <c r="H96" s="429">
        <f>+'9 - Rate Base'!I47</f>
        <v>296750.20000000007</v>
      </c>
      <c r="I96" s="606"/>
      <c r="J96" s="606"/>
      <c r="K96" s="780"/>
    </row>
    <row r="97" spans="1:11">
      <c r="A97" s="1362"/>
      <c r="B97" s="31"/>
      <c r="C97" s="14"/>
      <c r="D97" s="17"/>
      <c r="E97" s="39"/>
      <c r="F97" s="482"/>
      <c r="G97" s="821"/>
    </row>
    <row r="98" spans="1:11">
      <c r="A98" s="1362"/>
      <c r="B98" s="1371" t="s">
        <v>196</v>
      </c>
      <c r="C98" s="28"/>
      <c r="D98" s="17"/>
      <c r="E98" s="39"/>
      <c r="F98" s="823"/>
      <c r="G98" s="822"/>
    </row>
    <row r="99" spans="1:11">
      <c r="A99" s="1362">
        <v>45</v>
      </c>
      <c r="B99" s="1373"/>
      <c r="C99" s="1154" t="s">
        <v>79</v>
      </c>
      <c r="D99" s="88"/>
      <c r="E99" s="88" t="str">
        <f>"(Note "&amp;B$315&amp;")"</f>
        <v>(Note A)</v>
      </c>
      <c r="F99" s="40" t="s">
        <v>1275</v>
      </c>
      <c r="G99" s="823"/>
      <c r="H99" s="481">
        <f>+'9 - Rate Base'!G47</f>
        <v>30035118.643106215</v>
      </c>
      <c r="I99" s="92"/>
      <c r="J99" s="92"/>
    </row>
    <row r="100" spans="1:11">
      <c r="A100" s="1362">
        <v>46</v>
      </c>
      <c r="B100" s="31"/>
      <c r="C100" s="1" t="s">
        <v>176</v>
      </c>
      <c r="D100" s="20"/>
      <c r="E100" s="77"/>
      <c r="F100" s="608" t="s">
        <v>584</v>
      </c>
      <c r="G100" s="824"/>
      <c r="H100" s="30">
        <f>+H99</f>
        <v>30035118.643106215</v>
      </c>
      <c r="I100" s="92"/>
      <c r="J100" s="92"/>
    </row>
    <row r="101" spans="1:11">
      <c r="A101" s="1362"/>
      <c r="B101" s="31"/>
      <c r="C101" s="28"/>
      <c r="D101" s="17"/>
      <c r="E101" s="39"/>
      <c r="F101" s="823"/>
      <c r="G101" s="822"/>
      <c r="H101" s="24"/>
    </row>
    <row r="102" spans="1:11">
      <c r="A102" s="1362"/>
      <c r="B102" s="1371" t="s">
        <v>192</v>
      </c>
      <c r="C102" s="14"/>
      <c r="D102" s="17"/>
      <c r="E102" s="71"/>
      <c r="F102" s="823"/>
      <c r="G102" s="822"/>
      <c r="H102" s="24"/>
    </row>
    <row r="103" spans="1:11">
      <c r="A103" s="1362">
        <v>47</v>
      </c>
      <c r="B103" s="14"/>
      <c r="C103" s="14" t="s">
        <v>239</v>
      </c>
      <c r="D103" s="17"/>
      <c r="E103" s="73" t="str">
        <f>"(Note "&amp;B$315&amp;")"</f>
        <v>(Note A)</v>
      </c>
      <c r="F103" s="27" t="s">
        <v>1276</v>
      </c>
      <c r="H103" s="602">
        <f>+'9 - Rate Base'!F47</f>
        <v>0</v>
      </c>
      <c r="I103" s="92"/>
      <c r="J103" s="92"/>
    </row>
    <row r="104" spans="1:11">
      <c r="A104" s="1362">
        <v>48</v>
      </c>
      <c r="B104" s="31"/>
      <c r="C104" s="1154" t="s">
        <v>287</v>
      </c>
      <c r="D104" s="40"/>
      <c r="E104" s="131"/>
      <c r="F104" s="673" t="str">
        <f>"(Line "&amp;A$20&amp;")"</f>
        <v>(Line 5)</v>
      </c>
      <c r="G104" s="825"/>
      <c r="H104" s="22">
        <f>+H20</f>
        <v>0.13143233299925774</v>
      </c>
      <c r="I104" s="92"/>
      <c r="J104" s="92"/>
    </row>
    <row r="105" spans="1:11">
      <c r="A105" s="1362">
        <v>49</v>
      </c>
      <c r="B105" s="31"/>
      <c r="C105" s="28" t="s">
        <v>300</v>
      </c>
      <c r="D105" s="17"/>
      <c r="E105" s="39"/>
      <c r="F105" s="608" t="str">
        <f>"(Line "&amp;A103&amp;" * "&amp;A104&amp;")"</f>
        <v>(Line 47 * 48)</v>
      </c>
      <c r="G105" s="822"/>
      <c r="H105" s="29">
        <f>+H103*H104</f>
        <v>0</v>
      </c>
      <c r="I105" s="92"/>
      <c r="J105" s="92"/>
    </row>
    <row r="106" spans="1:11">
      <c r="A106" s="1362">
        <v>50</v>
      </c>
      <c r="B106" s="31"/>
      <c r="C106" s="28" t="s">
        <v>178</v>
      </c>
      <c r="D106" s="17"/>
      <c r="E106" s="73" t="str">
        <f>"(Note "&amp;B$351&amp;")"</f>
        <v>(Note U)</v>
      </c>
      <c r="F106" s="40" t="s">
        <v>1277</v>
      </c>
      <c r="G106" s="822"/>
      <c r="H106" s="670">
        <f>+'9 - Rate Base'!E47</f>
        <v>4297732.9332324089</v>
      </c>
      <c r="I106" s="92"/>
      <c r="J106" s="92"/>
      <c r="K106" s="780"/>
    </row>
    <row r="107" spans="1:11" ht="18" customHeight="1">
      <c r="A107" s="1362">
        <v>51</v>
      </c>
      <c r="B107" s="31"/>
      <c r="C107" s="7" t="s">
        <v>191</v>
      </c>
      <c r="D107" s="7"/>
      <c r="E107" s="648"/>
      <c r="F107" s="37" t="str">
        <f>"(Line "&amp;A105&amp;" + "&amp;A106&amp;")"</f>
        <v>(Line 49 + 50)</v>
      </c>
      <c r="G107" s="826"/>
      <c r="H107" s="59">
        <f>SUM(H105:H106)</f>
        <v>4297732.9332324089</v>
      </c>
      <c r="I107" s="92"/>
      <c r="J107" s="92"/>
    </row>
    <row r="108" spans="1:11">
      <c r="A108" s="1362"/>
      <c r="B108" s="31"/>
      <c r="C108" s="28"/>
      <c r="D108" s="14"/>
      <c r="E108" s="1362"/>
      <c r="F108" s="822"/>
      <c r="G108" s="822"/>
    </row>
    <row r="109" spans="1:11">
      <c r="A109" s="1362"/>
      <c r="B109" s="1371" t="s">
        <v>197</v>
      </c>
      <c r="C109" s="14"/>
      <c r="D109" s="14"/>
      <c r="E109" s="1362"/>
      <c r="F109" s="822"/>
      <c r="G109" s="822"/>
    </row>
    <row r="110" spans="1:11">
      <c r="A110" s="1362">
        <v>52</v>
      </c>
      <c r="B110" s="31"/>
      <c r="C110" s="28" t="s">
        <v>295</v>
      </c>
      <c r="D110" s="28"/>
      <c r="E110" s="1362"/>
      <c r="F110" s="37" t="s">
        <v>585</v>
      </c>
      <c r="G110" s="822"/>
      <c r="H110" s="482">
        <f>+H157</f>
        <v>63972978.705814116</v>
      </c>
      <c r="I110" s="92"/>
      <c r="J110" s="92"/>
    </row>
    <row r="111" spans="1:11">
      <c r="A111" s="1362">
        <v>53</v>
      </c>
      <c r="B111" s="31"/>
      <c r="C111" s="28" t="s">
        <v>288</v>
      </c>
      <c r="D111" s="28"/>
      <c r="E111" s="1362"/>
      <c r="F111" s="1154" t="s">
        <v>315</v>
      </c>
      <c r="H111" s="827">
        <v>0.125</v>
      </c>
      <c r="I111" s="92"/>
      <c r="J111" s="92"/>
    </row>
    <row r="112" spans="1:11" s="92" customFormat="1">
      <c r="A112" s="1362">
        <v>54</v>
      </c>
      <c r="B112" s="1375"/>
      <c r="C112" s="647" t="s">
        <v>177</v>
      </c>
      <c r="D112" s="647"/>
      <c r="E112" s="648"/>
      <c r="F112" s="37" t="str">
        <f>"(Line "&amp;A110&amp;" * "&amp;A111&amp;")"</f>
        <v>(Line 52 * 53)</v>
      </c>
      <c r="G112" s="7"/>
      <c r="H112" s="30">
        <f>+H110*H111</f>
        <v>7996622.3382267645</v>
      </c>
    </row>
    <row r="113" spans="1:10" s="92" customFormat="1">
      <c r="A113" s="1362"/>
      <c r="B113" s="1375"/>
      <c r="C113" s="1371"/>
      <c r="D113" s="1371"/>
      <c r="E113" s="1361"/>
      <c r="F113" s="37"/>
      <c r="G113" s="649"/>
      <c r="H113" s="828"/>
    </row>
    <row r="114" spans="1:10" s="92" customFormat="1">
      <c r="A114" s="1"/>
      <c r="B114" s="1371" t="s">
        <v>431</v>
      </c>
      <c r="C114" s="1"/>
      <c r="D114" s="1371"/>
      <c r="E114" s="1"/>
      <c r="F114" s="37"/>
      <c r="G114" s="649"/>
      <c r="H114" s="828"/>
    </row>
    <row r="115" spans="1:10">
      <c r="A115" s="1362">
        <v>55</v>
      </c>
      <c r="B115" s="14"/>
      <c r="C115" s="14" t="s">
        <v>432</v>
      </c>
      <c r="D115" s="14"/>
      <c r="E115" s="1367" t="str">
        <f>"(Note "&amp;B$333&amp;")"</f>
        <v>(Note N)</v>
      </c>
      <c r="F115" s="14" t="s">
        <v>434</v>
      </c>
      <c r="H115" s="110">
        <f>+'5 - Cost Support'!G173</f>
        <v>0</v>
      </c>
      <c r="I115" s="92"/>
      <c r="J115" s="92"/>
    </row>
    <row r="116" spans="1:10">
      <c r="A116" s="1362">
        <v>56</v>
      </c>
      <c r="B116" s="14"/>
      <c r="C116" s="111" t="s">
        <v>527</v>
      </c>
      <c r="D116" s="111"/>
      <c r="E116" s="407" t="str">
        <f>+E115</f>
        <v>(Note N)</v>
      </c>
      <c r="F116" s="111" t="str">
        <f>+F115</f>
        <v>From PJM</v>
      </c>
      <c r="H116" s="124">
        <f>+'5 - Cost Support'!G178</f>
        <v>0</v>
      </c>
      <c r="I116" s="92"/>
      <c r="J116" s="92"/>
    </row>
    <row r="117" spans="1:10">
      <c r="A117" s="1362">
        <v>57</v>
      </c>
      <c r="B117" s="14"/>
      <c r="C117" s="14" t="s">
        <v>433</v>
      </c>
      <c r="D117" s="14"/>
      <c r="E117" s="1362"/>
      <c r="F117" s="37" t="s">
        <v>586</v>
      </c>
      <c r="H117" s="1">
        <f>+H115+H116</f>
        <v>0</v>
      </c>
      <c r="I117" s="92"/>
      <c r="J117" s="92"/>
    </row>
    <row r="118" spans="1:10">
      <c r="A118" s="1362"/>
      <c r="B118" s="14"/>
      <c r="C118" s="14"/>
      <c r="D118" s="14"/>
      <c r="E118" s="1362"/>
    </row>
    <row r="119" spans="1:10" ht="16" thickBot="1">
      <c r="A119" s="1362">
        <v>58</v>
      </c>
      <c r="B119" s="10" t="s">
        <v>289</v>
      </c>
      <c r="C119" s="10"/>
      <c r="D119" s="10"/>
      <c r="E119" s="76"/>
      <c r="F119" s="1366" t="s">
        <v>645</v>
      </c>
      <c r="G119" s="496"/>
      <c r="H119" s="498">
        <f>SUM(H90,H93,H96,H100,H107,H112,H117)</f>
        <v>-321719117.07208705</v>
      </c>
      <c r="I119" s="92"/>
      <c r="J119" s="92"/>
    </row>
    <row r="120" spans="1:10" ht="16" thickTop="1">
      <c r="A120" s="1362"/>
      <c r="B120" s="14"/>
      <c r="C120" s="14"/>
      <c r="D120" s="14"/>
      <c r="E120" s="1362"/>
    </row>
    <row r="121" spans="1:10" ht="16" thickBot="1">
      <c r="A121" s="1362">
        <v>59</v>
      </c>
      <c r="B121" s="10" t="s">
        <v>280</v>
      </c>
      <c r="C121" s="10"/>
      <c r="D121" s="10"/>
      <c r="E121" s="76"/>
      <c r="F121" s="1366" t="s">
        <v>587</v>
      </c>
      <c r="G121" s="10"/>
      <c r="H121" s="11">
        <f>+H73+H119</f>
        <v>1624039767.6346238</v>
      </c>
      <c r="I121" s="92"/>
      <c r="J121" s="92"/>
    </row>
    <row r="122" spans="1:10" ht="16" thickTop="1">
      <c r="B122" s="14"/>
      <c r="C122" s="14"/>
      <c r="D122" s="14"/>
      <c r="E122" s="1362"/>
    </row>
    <row r="123" spans="1:10" s="666" customFormat="1">
      <c r="A123" s="829" t="s">
        <v>321</v>
      </c>
      <c r="B123" s="634"/>
      <c r="C123" s="829"/>
      <c r="D123" s="634"/>
      <c r="E123" s="1363"/>
      <c r="F123" s="634"/>
      <c r="G123" s="634"/>
      <c r="H123" s="633"/>
      <c r="I123" s="883"/>
      <c r="J123" s="883"/>
    </row>
    <row r="124" spans="1:10">
      <c r="A124" s="14"/>
      <c r="B124" s="14"/>
      <c r="C124" s="14"/>
      <c r="D124" s="14"/>
      <c r="E124" s="1361"/>
      <c r="G124" s="17"/>
      <c r="H124" s="49"/>
    </row>
    <row r="125" spans="1:10">
      <c r="A125" s="1362"/>
      <c r="B125" s="1" t="s">
        <v>264</v>
      </c>
      <c r="C125" s="14"/>
      <c r="D125" s="37"/>
      <c r="E125" s="388"/>
      <c r="G125" s="537"/>
      <c r="H125" s="537"/>
    </row>
    <row r="126" spans="1:10">
      <c r="A126" s="1362">
        <v>60</v>
      </c>
      <c r="B126" s="1362"/>
      <c r="C126" s="14" t="s">
        <v>264</v>
      </c>
      <c r="D126" s="14"/>
      <c r="E126" s="1362"/>
      <c r="F126" s="37" t="s">
        <v>164</v>
      </c>
      <c r="G126" s="12"/>
      <c r="H126" s="602">
        <f>+'5 - Cost Support'!H68</f>
        <v>39082181</v>
      </c>
      <c r="I126" s="92"/>
      <c r="J126" s="92"/>
    </row>
    <row r="127" spans="1:10">
      <c r="A127" s="1362">
        <v>61</v>
      </c>
      <c r="B127" s="1362"/>
      <c r="C127" s="14" t="s">
        <v>207</v>
      </c>
      <c r="D127" s="14"/>
      <c r="E127" s="1362"/>
      <c r="F127" s="37" t="s">
        <v>55</v>
      </c>
      <c r="G127" s="12"/>
      <c r="H127" s="481">
        <f>+'5 - Cost Support'!G165</f>
        <v>0</v>
      </c>
      <c r="I127" s="92"/>
      <c r="J127" s="92"/>
    </row>
    <row r="128" spans="1:10">
      <c r="A128" s="1362">
        <v>62</v>
      </c>
      <c r="B128" s="1362"/>
      <c r="C128" s="14" t="s">
        <v>951</v>
      </c>
      <c r="D128" s="14"/>
      <c r="E128" s="1362"/>
      <c r="F128" s="37" t="s">
        <v>55</v>
      </c>
      <c r="G128" s="12"/>
      <c r="H128" s="481">
        <f>+'5 - Cost Support'!J166</f>
        <v>0</v>
      </c>
      <c r="I128" s="92"/>
      <c r="J128" s="92"/>
    </row>
    <row r="129" spans="1:10">
      <c r="A129" s="1362">
        <v>63</v>
      </c>
      <c r="B129" s="1362"/>
      <c r="C129" s="14" t="s">
        <v>322</v>
      </c>
      <c r="D129" s="14"/>
      <c r="E129" s="1362"/>
      <c r="F129" s="37" t="s">
        <v>165</v>
      </c>
      <c r="G129" s="16"/>
      <c r="H129" s="602">
        <v>0</v>
      </c>
      <c r="I129" s="92"/>
      <c r="J129" s="92"/>
    </row>
    <row r="130" spans="1:10">
      <c r="A130" s="1362">
        <v>64</v>
      </c>
      <c r="B130" s="1362"/>
      <c r="C130" s="14" t="s">
        <v>211</v>
      </c>
      <c r="D130" s="14"/>
      <c r="E130" s="1367" t="str">
        <f>"(Note "&amp;B$336&amp;")"</f>
        <v>(Note O)</v>
      </c>
      <c r="F130" s="37" t="s">
        <v>436</v>
      </c>
      <c r="G130" s="16"/>
      <c r="H130" s="602">
        <v>0</v>
      </c>
      <c r="I130" s="92"/>
      <c r="J130" s="92"/>
    </row>
    <row r="131" spans="1:10">
      <c r="A131" s="1362">
        <v>65</v>
      </c>
      <c r="B131" s="1362"/>
      <c r="C131" s="14" t="s">
        <v>265</v>
      </c>
      <c r="D131" s="37"/>
      <c r="E131" s="407" t="str">
        <f>"(Note "&amp;B$315&amp;")"</f>
        <v>(Note A)</v>
      </c>
      <c r="F131" s="1062" t="s">
        <v>1474</v>
      </c>
      <c r="G131" s="16"/>
      <c r="H131" s="640">
        <f>+'5 - Cost Support'!H66</f>
        <v>0</v>
      </c>
      <c r="I131" s="92"/>
      <c r="J131" s="92"/>
    </row>
    <row r="132" spans="1:10">
      <c r="A132" s="1362">
        <v>66</v>
      </c>
      <c r="B132" s="14"/>
      <c r="C132" s="7" t="s">
        <v>264</v>
      </c>
      <c r="D132" s="19"/>
      <c r="E132" s="74"/>
      <c r="F132" s="37" t="s">
        <v>588</v>
      </c>
      <c r="G132" s="20"/>
      <c r="H132" s="128">
        <f>+H126-H127+H128-H129+H130+H131</f>
        <v>39082181</v>
      </c>
      <c r="I132" s="92"/>
      <c r="J132" s="92"/>
    </row>
    <row r="133" spans="1:10">
      <c r="A133" s="1362"/>
      <c r="B133" s="1362"/>
      <c r="C133" s="1"/>
      <c r="D133" s="14"/>
      <c r="E133" s="388"/>
      <c r="G133" s="16"/>
      <c r="H133" s="8"/>
    </row>
    <row r="134" spans="1:10">
      <c r="A134" s="1362"/>
      <c r="B134" s="1" t="s">
        <v>181</v>
      </c>
      <c r="C134" s="14"/>
      <c r="D134" s="14"/>
      <c r="E134" s="388"/>
      <c r="G134" s="16"/>
      <c r="H134" s="8"/>
    </row>
    <row r="135" spans="1:10">
      <c r="A135" s="1362">
        <v>67</v>
      </c>
      <c r="B135" s="1362"/>
      <c r="C135" s="14" t="s">
        <v>267</v>
      </c>
      <c r="D135" s="14"/>
      <c r="E135" s="1367" t="str">
        <f>"(Note "&amp;B$315&amp;")"</f>
        <v>(Note A)</v>
      </c>
      <c r="F135" s="37" t="s">
        <v>153</v>
      </c>
      <c r="G135" s="16"/>
      <c r="H135" s="602">
        <v>0</v>
      </c>
    </row>
    <row r="136" spans="1:10">
      <c r="A136" s="1362">
        <v>68</v>
      </c>
      <c r="B136" s="1362"/>
      <c r="C136" s="14" t="s">
        <v>269</v>
      </c>
      <c r="D136" s="14"/>
      <c r="E136" s="1362"/>
      <c r="F136" s="28" t="s">
        <v>1475</v>
      </c>
      <c r="G136" s="16"/>
      <c r="H136" s="602">
        <f>+'5 - Cost Support'!I82</f>
        <v>190097910.74000001</v>
      </c>
      <c r="I136" s="92"/>
      <c r="J136" s="92"/>
    </row>
    <row r="137" spans="1:10">
      <c r="A137" s="1362" t="s">
        <v>754</v>
      </c>
      <c r="B137" s="1362"/>
      <c r="C137" s="14" t="s">
        <v>766</v>
      </c>
      <c r="D137" s="14"/>
      <c r="E137" s="1367" t="str">
        <f>"(Note "&amp;B$348&amp;")"</f>
        <v>(Note S)</v>
      </c>
      <c r="F137" s="37" t="s">
        <v>55</v>
      </c>
      <c r="G137" s="16"/>
      <c r="H137" s="602">
        <f>+'5 - Cost Support'!I244</f>
        <v>4411902.5517151766</v>
      </c>
      <c r="I137" s="92"/>
      <c r="J137" s="92"/>
    </row>
    <row r="138" spans="1:10">
      <c r="A138" s="1362">
        <v>69</v>
      </c>
      <c r="B138" s="1362"/>
      <c r="C138" s="14" t="s">
        <v>328</v>
      </c>
      <c r="D138" s="37"/>
      <c r="E138" s="1362"/>
      <c r="F138" s="14" t="s">
        <v>166</v>
      </c>
      <c r="G138" s="5"/>
      <c r="H138" s="602">
        <v>542941</v>
      </c>
      <c r="I138" s="92"/>
      <c r="J138" s="92"/>
    </row>
    <row r="139" spans="1:10">
      <c r="A139" s="1362">
        <v>70</v>
      </c>
      <c r="B139" s="1362"/>
      <c r="C139" s="14" t="s">
        <v>329</v>
      </c>
      <c r="D139" s="37"/>
      <c r="E139" s="1367" t="str">
        <f>"(Note "&amp;B$321&amp;")"</f>
        <v>(Note E)</v>
      </c>
      <c r="F139" s="14" t="s">
        <v>167</v>
      </c>
      <c r="G139" s="5"/>
      <c r="H139" s="602">
        <v>166114</v>
      </c>
      <c r="I139" s="92"/>
      <c r="J139" s="92"/>
    </row>
    <row r="140" spans="1:10">
      <c r="A140" s="1362">
        <v>71</v>
      </c>
      <c r="B140" s="1362"/>
      <c r="C140" s="14" t="s">
        <v>330</v>
      </c>
      <c r="D140" s="37"/>
      <c r="E140" s="1362"/>
      <c r="F140" s="14" t="s">
        <v>168</v>
      </c>
      <c r="G140" s="5"/>
      <c r="H140" s="602">
        <v>1156316</v>
      </c>
      <c r="I140" s="92"/>
      <c r="J140" s="92"/>
    </row>
    <row r="141" spans="1:10">
      <c r="A141" s="1362">
        <v>72</v>
      </c>
      <c r="B141" s="1362"/>
      <c r="C141" s="14" t="s">
        <v>306</v>
      </c>
      <c r="D141" s="14"/>
      <c r="E141" s="1367" t="str">
        <f>"(Note "&amp;B$320&amp;")"</f>
        <v>(Note D)</v>
      </c>
      <c r="F141" s="1062" t="s">
        <v>283</v>
      </c>
      <c r="G141" s="16"/>
      <c r="H141" s="602">
        <v>0</v>
      </c>
      <c r="I141" s="92"/>
      <c r="J141" s="92"/>
    </row>
    <row r="142" spans="1:10">
      <c r="A142" s="1362">
        <v>73</v>
      </c>
      <c r="B142" s="1362"/>
      <c r="C142" s="7" t="s">
        <v>179</v>
      </c>
      <c r="D142" s="19"/>
      <c r="E142" s="636"/>
      <c r="F142" s="37" t="s">
        <v>589</v>
      </c>
      <c r="G142" s="21"/>
      <c r="H142" s="635">
        <f>H135+H136-H138-H139-H140-H141</f>
        <v>188232539.74000001</v>
      </c>
      <c r="I142" s="92"/>
      <c r="J142" s="92"/>
    </row>
    <row r="143" spans="1:10">
      <c r="A143" s="1362">
        <v>74</v>
      </c>
      <c r="B143" s="1362"/>
      <c r="C143" s="28" t="s">
        <v>287</v>
      </c>
      <c r="D143" s="28"/>
      <c r="E143" s="1362"/>
      <c r="F143" s="111" t="str">
        <f>"(Line "&amp;A$20&amp;")"</f>
        <v>(Line 5)</v>
      </c>
      <c r="G143" s="822"/>
      <c r="H143" s="24">
        <f>+H20</f>
        <v>0.13143233299925774</v>
      </c>
      <c r="I143" s="92"/>
      <c r="J143" s="92"/>
    </row>
    <row r="144" spans="1:10">
      <c r="A144" s="1362">
        <v>75</v>
      </c>
      <c r="B144" s="1362"/>
      <c r="C144" s="7" t="s">
        <v>190</v>
      </c>
      <c r="D144" s="19"/>
      <c r="E144" s="636"/>
      <c r="F144" s="37" t="s">
        <v>590</v>
      </c>
      <c r="G144" s="21"/>
      <c r="H144" s="126">
        <f>+H143*H142</f>
        <v>24739841.844403699</v>
      </c>
      <c r="I144" s="92"/>
      <c r="J144" s="92"/>
    </row>
    <row r="145" spans="1:10">
      <c r="A145" s="1362"/>
      <c r="B145" s="1362"/>
      <c r="C145" s="1"/>
      <c r="D145" s="14"/>
      <c r="E145" s="388"/>
      <c r="G145" s="23"/>
      <c r="H145" s="478"/>
    </row>
    <row r="146" spans="1:10">
      <c r="A146" s="1362"/>
      <c r="B146" s="1" t="s">
        <v>180</v>
      </c>
      <c r="C146" s="14"/>
      <c r="D146" s="14"/>
      <c r="E146" s="388"/>
      <c r="G146" s="23"/>
      <c r="H146" s="478"/>
    </row>
    <row r="147" spans="1:10">
      <c r="A147" s="1362">
        <v>76</v>
      </c>
      <c r="B147" s="31"/>
      <c r="C147" s="28" t="s">
        <v>332</v>
      </c>
      <c r="D147" s="1367"/>
      <c r="E147" s="1367" t="str">
        <f>"(Note "&amp;B$323&amp;")"</f>
        <v>(Note G)</v>
      </c>
      <c r="F147" s="28" t="s">
        <v>169</v>
      </c>
      <c r="G147" s="17"/>
      <c r="H147" s="602">
        <v>0</v>
      </c>
      <c r="I147" s="92"/>
      <c r="J147" s="92"/>
    </row>
    <row r="148" spans="1:10">
      <c r="A148" s="1362">
        <v>77</v>
      </c>
      <c r="B148" s="31"/>
      <c r="C148" s="1154" t="s">
        <v>333</v>
      </c>
      <c r="D148" s="1376"/>
      <c r="E148" s="407" t="str">
        <f>"(Note "&amp;B$330&amp;")"</f>
        <v>(Note K)</v>
      </c>
      <c r="F148" s="1154" t="s">
        <v>168</v>
      </c>
      <c r="G148" s="17"/>
      <c r="H148" s="654">
        <v>0</v>
      </c>
      <c r="I148" s="92"/>
      <c r="J148" s="92"/>
    </row>
    <row r="149" spans="1:10">
      <c r="A149" s="1362">
        <v>78</v>
      </c>
      <c r="B149" s="31"/>
      <c r="C149" s="28" t="s">
        <v>307</v>
      </c>
      <c r="D149" s="14"/>
      <c r="E149" s="1374"/>
      <c r="F149" s="37" t="s">
        <v>591</v>
      </c>
      <c r="G149" s="17"/>
      <c r="H149" s="830">
        <f>+H148+H147</f>
        <v>0</v>
      </c>
      <c r="I149" s="92"/>
      <c r="J149" s="92"/>
    </row>
    <row r="150" spans="1:10">
      <c r="A150" s="1362"/>
      <c r="B150" s="31"/>
      <c r="C150" s="28"/>
      <c r="D150" s="14"/>
      <c r="E150" s="1374"/>
      <c r="F150" s="28"/>
      <c r="G150" s="17"/>
      <c r="H150" s="823"/>
    </row>
    <row r="151" spans="1:10">
      <c r="A151" s="1362">
        <v>79</v>
      </c>
      <c r="B151" s="31"/>
      <c r="C151" s="28" t="s">
        <v>334</v>
      </c>
      <c r="D151" s="14"/>
      <c r="E151" s="1362"/>
      <c r="F151" s="27" t="s">
        <v>1476</v>
      </c>
      <c r="G151" s="17"/>
      <c r="H151" s="831">
        <f>H138</f>
        <v>542941</v>
      </c>
      <c r="I151" s="92"/>
      <c r="J151" s="92"/>
    </row>
    <row r="152" spans="1:10">
      <c r="A152" s="1362">
        <v>80</v>
      </c>
      <c r="B152" s="31"/>
      <c r="C152" s="28" t="s">
        <v>333</v>
      </c>
      <c r="D152" s="14"/>
      <c r="E152" s="1367" t="str">
        <f>"(Note "&amp;B$322&amp;")"</f>
        <v>(Note F)</v>
      </c>
      <c r="F152" s="1154" t="s">
        <v>168</v>
      </c>
      <c r="G152" s="17"/>
      <c r="H152" s="654">
        <v>0</v>
      </c>
      <c r="I152" s="92"/>
      <c r="J152" s="92"/>
    </row>
    <row r="153" spans="1:10">
      <c r="A153" s="1362">
        <v>81</v>
      </c>
      <c r="B153" s="31"/>
      <c r="C153" s="1372" t="s">
        <v>292</v>
      </c>
      <c r="D153" s="19"/>
      <c r="E153" s="74"/>
      <c r="F153" s="37" t="s">
        <v>592</v>
      </c>
      <c r="G153" s="20"/>
      <c r="H153" s="106">
        <f>+H151+H152</f>
        <v>542941</v>
      </c>
      <c r="I153" s="92"/>
      <c r="J153" s="92"/>
    </row>
    <row r="154" spans="1:10">
      <c r="A154" s="1362">
        <v>82</v>
      </c>
      <c r="B154" s="1362"/>
      <c r="C154" s="28" t="s">
        <v>237</v>
      </c>
      <c r="D154" s="28"/>
      <c r="E154" s="1362"/>
      <c r="F154" s="1062" t="str">
        <f>"(Line "&amp;A$39&amp;")"</f>
        <v>(Line 18)</v>
      </c>
      <c r="G154" s="822"/>
      <c r="H154" s="25">
        <f>+H39</f>
        <v>0.27803363792827679</v>
      </c>
      <c r="I154" s="92"/>
      <c r="J154" s="92"/>
    </row>
    <row r="155" spans="1:10">
      <c r="A155" s="1362">
        <v>83</v>
      </c>
      <c r="B155" s="1362"/>
      <c r="C155" s="7" t="s">
        <v>182</v>
      </c>
      <c r="D155" s="19"/>
      <c r="E155" s="636"/>
      <c r="F155" s="37" t="s">
        <v>593</v>
      </c>
      <c r="G155" s="21"/>
      <c r="H155" s="125">
        <f>+H154*H153</f>
        <v>150955.86141041652</v>
      </c>
      <c r="I155" s="92"/>
      <c r="J155" s="92"/>
    </row>
    <row r="156" spans="1:10">
      <c r="A156" s="1362"/>
      <c r="B156" s="1362"/>
      <c r="C156" s="1"/>
      <c r="D156" s="14"/>
      <c r="E156" s="388"/>
      <c r="G156" s="5"/>
      <c r="H156" s="478"/>
    </row>
    <row r="157" spans="1:10" ht="16" thickBot="1">
      <c r="A157" s="1362">
        <v>84</v>
      </c>
      <c r="B157" s="1362"/>
      <c r="C157" s="10" t="s">
        <v>268</v>
      </c>
      <c r="D157" s="46"/>
      <c r="E157" s="652"/>
      <c r="F157" s="11" t="s">
        <v>594</v>
      </c>
      <c r="G157" s="50"/>
      <c r="H157" s="9">
        <f>+H132+H144+H149+H155</f>
        <v>63972978.705814116</v>
      </c>
      <c r="I157" s="92"/>
      <c r="J157" s="92"/>
    </row>
    <row r="158" spans="1:10" ht="16" thickTop="1">
      <c r="B158" s="1362"/>
      <c r="C158" s="1"/>
      <c r="D158" s="14"/>
      <c r="E158" s="388"/>
      <c r="G158" s="5"/>
      <c r="H158" s="8"/>
    </row>
    <row r="159" spans="1:10" s="666" customFormat="1">
      <c r="A159" s="829" t="s">
        <v>260</v>
      </c>
      <c r="B159" s="634"/>
      <c r="C159" s="829"/>
      <c r="D159" s="634"/>
      <c r="E159" s="1363"/>
      <c r="F159" s="634"/>
      <c r="G159" s="634"/>
      <c r="H159" s="633"/>
    </row>
    <row r="160" spans="1:10">
      <c r="A160" s="1"/>
      <c r="B160" s="1362"/>
      <c r="C160" s="1"/>
      <c r="D160" s="14"/>
      <c r="E160" s="388"/>
      <c r="G160" s="5"/>
      <c r="H160" s="8"/>
    </row>
    <row r="161" spans="1:11">
      <c r="A161" s="1362"/>
      <c r="B161" s="1371" t="s">
        <v>149</v>
      </c>
      <c r="C161" s="14"/>
      <c r="D161" s="14"/>
      <c r="E161" s="1362"/>
      <c r="F161" s="31"/>
      <c r="G161" s="31"/>
      <c r="H161" s="832"/>
    </row>
    <row r="162" spans="1:11">
      <c r="A162" s="1362">
        <v>85</v>
      </c>
      <c r="B162" s="31"/>
      <c r="C162" s="28" t="s">
        <v>151</v>
      </c>
      <c r="D162" s="14"/>
      <c r="E162" s="1362"/>
      <c r="F162" s="27" t="s">
        <v>55</v>
      </c>
      <c r="H162" s="833">
        <f>+'5 - Cost Support'!H30</f>
        <v>67988646.120000005</v>
      </c>
      <c r="I162" s="92"/>
      <c r="J162" s="92"/>
    </row>
    <row r="163" spans="1:11">
      <c r="A163" s="1362" t="s">
        <v>595</v>
      </c>
      <c r="B163" s="31"/>
      <c r="C163" s="28" t="s">
        <v>575</v>
      </c>
      <c r="D163" s="14"/>
      <c r="E163" s="1367" t="str">
        <f>"(Note "&amp;B$343&amp;")"</f>
        <v>(Note R)</v>
      </c>
      <c r="F163" s="27" t="s">
        <v>1220</v>
      </c>
      <c r="G163" s="17"/>
      <c r="H163" s="834">
        <f>'9 - Rate Base'!I34-'9 - Rate Base'!I46</f>
        <v>593500.40000000014</v>
      </c>
      <c r="I163" s="92"/>
      <c r="J163" s="92"/>
      <c r="K163" s="780"/>
    </row>
    <row r="164" spans="1:11">
      <c r="A164" s="1362"/>
      <c r="B164" s="31"/>
      <c r="C164" s="28"/>
      <c r="D164" s="14"/>
      <c r="E164" s="1362"/>
      <c r="F164" s="1400"/>
      <c r="G164" s="822"/>
      <c r="H164" s="830"/>
    </row>
    <row r="165" spans="1:11">
      <c r="A165" s="1362">
        <v>86</v>
      </c>
      <c r="B165" s="31"/>
      <c r="C165" s="28" t="s">
        <v>290</v>
      </c>
      <c r="D165" s="14"/>
      <c r="E165" s="1362"/>
      <c r="F165" s="27" t="s">
        <v>55</v>
      </c>
      <c r="H165" s="1327">
        <f>+'5 - Cost Support'!H31</f>
        <v>19752985</v>
      </c>
      <c r="I165" s="92"/>
      <c r="J165" s="92"/>
    </row>
    <row r="166" spans="1:11">
      <c r="A166" s="1362">
        <v>87</v>
      </c>
      <c r="B166" s="31"/>
      <c r="C166" s="1154" t="s">
        <v>238</v>
      </c>
      <c r="D166" s="111"/>
      <c r="E166" s="407" t="str">
        <f>"(Note "&amp;B$315&amp;")"</f>
        <v>(Note A)</v>
      </c>
      <c r="F166" s="40" t="s">
        <v>55</v>
      </c>
      <c r="H166" s="654">
        <f>+'5 - Cost Support'!H32</f>
        <v>16324793</v>
      </c>
      <c r="I166" s="92"/>
      <c r="J166" s="92"/>
    </row>
    <row r="167" spans="1:11">
      <c r="A167" s="1362">
        <v>88</v>
      </c>
      <c r="B167" s="31"/>
      <c r="C167" s="28" t="s">
        <v>292</v>
      </c>
      <c r="D167" s="14"/>
      <c r="E167" s="1362"/>
      <c r="F167" s="608" t="s">
        <v>596</v>
      </c>
      <c r="H167" s="482">
        <f>SUM(H165:H166)</f>
        <v>36077778</v>
      </c>
      <c r="I167" s="92"/>
      <c r="J167" s="92"/>
    </row>
    <row r="168" spans="1:11">
      <c r="A168" s="1362">
        <v>89</v>
      </c>
      <c r="B168" s="31"/>
      <c r="C168" s="1154" t="s">
        <v>287</v>
      </c>
      <c r="D168" s="1154"/>
      <c r="E168" s="78"/>
      <c r="F168" s="314" t="s">
        <v>71</v>
      </c>
      <c r="G168" s="825"/>
      <c r="H168" s="42">
        <f>+H20</f>
        <v>0.13143233299925774</v>
      </c>
      <c r="I168" s="92"/>
      <c r="J168" s="92"/>
    </row>
    <row r="169" spans="1:11">
      <c r="A169" s="1362">
        <v>90</v>
      </c>
      <c r="B169" s="31"/>
      <c r="C169" s="1371" t="s">
        <v>241</v>
      </c>
      <c r="D169" s="14"/>
      <c r="E169" s="1362"/>
      <c r="F169" s="608" t="s">
        <v>597</v>
      </c>
      <c r="G169" s="822"/>
      <c r="H169" s="828">
        <f>+H167*H168</f>
        <v>4741786.5319692949</v>
      </c>
      <c r="I169" s="92"/>
      <c r="J169" s="92"/>
    </row>
    <row r="170" spans="1:11">
      <c r="A170" s="1362"/>
      <c r="B170" s="31"/>
      <c r="C170" s="28"/>
      <c r="D170" s="14"/>
      <c r="E170" s="1362"/>
      <c r="F170" s="27"/>
      <c r="G170" s="822"/>
      <c r="H170" s="835"/>
    </row>
    <row r="171" spans="1:11">
      <c r="A171" s="1362">
        <v>91</v>
      </c>
      <c r="B171" s="31"/>
      <c r="C171" s="28" t="s">
        <v>134</v>
      </c>
      <c r="D171" s="14"/>
      <c r="E171" s="1367" t="str">
        <f>"(Note "&amp;B$315&amp;")"</f>
        <v>(Note A)</v>
      </c>
      <c r="F171" s="27" t="s">
        <v>55</v>
      </c>
      <c r="H171" s="831">
        <f>+'5 - Cost Support'!H34</f>
        <v>19368817</v>
      </c>
      <c r="I171" s="92"/>
      <c r="J171" s="92"/>
    </row>
    <row r="172" spans="1:11">
      <c r="A172" s="1362">
        <v>92</v>
      </c>
      <c r="B172" s="31"/>
      <c r="C172" s="1154" t="s">
        <v>240</v>
      </c>
      <c r="D172" s="111"/>
      <c r="E172" s="407" t="str">
        <f>"(Note "&amp;B$315&amp;")"</f>
        <v>(Note A)</v>
      </c>
      <c r="F172" s="40" t="s">
        <v>55</v>
      </c>
      <c r="H172" s="654">
        <f>+'5 - Cost Support'!H35</f>
        <v>46615899</v>
      </c>
      <c r="I172" s="92"/>
      <c r="J172" s="92"/>
    </row>
    <row r="173" spans="1:11">
      <c r="A173" s="1362">
        <v>93</v>
      </c>
      <c r="B173" s="31"/>
      <c r="C173" s="28" t="s">
        <v>292</v>
      </c>
      <c r="D173" s="14"/>
      <c r="E173" s="1362"/>
      <c r="F173" s="608" t="s">
        <v>598</v>
      </c>
      <c r="H173" s="482">
        <f>+H172+H171</f>
        <v>65984716</v>
      </c>
      <c r="I173" s="92"/>
      <c r="J173" s="92"/>
    </row>
    <row r="174" spans="1:11">
      <c r="A174" s="1362">
        <v>94</v>
      </c>
      <c r="B174" s="31"/>
      <c r="C174" s="1154" t="s">
        <v>287</v>
      </c>
      <c r="D174" s="1154"/>
      <c r="E174" s="78"/>
      <c r="F174" s="314" t="str">
        <f>"(Line "&amp;A$20&amp;")"</f>
        <v>(Line 5)</v>
      </c>
      <c r="G174" s="825"/>
      <c r="H174" s="42">
        <f>+H20</f>
        <v>0.13143233299925774</v>
      </c>
      <c r="I174" s="92"/>
      <c r="J174" s="92"/>
    </row>
    <row r="175" spans="1:11">
      <c r="A175" s="1362">
        <v>95</v>
      </c>
      <c r="B175" s="31"/>
      <c r="C175" s="1371" t="s">
        <v>242</v>
      </c>
      <c r="D175" s="14"/>
      <c r="E175" s="1362"/>
      <c r="F175" s="608" t="s">
        <v>599</v>
      </c>
      <c r="G175" s="822"/>
      <c r="H175" s="828">
        <f>+H174*H173</f>
        <v>8672525.1661734506</v>
      </c>
      <c r="I175" s="92"/>
      <c r="J175" s="92"/>
    </row>
    <row r="176" spans="1:11">
      <c r="A176" s="1362"/>
      <c r="B176" s="31"/>
      <c r="C176" s="14"/>
      <c r="D176" s="14"/>
      <c r="E176" s="1362"/>
      <c r="F176" s="27"/>
      <c r="G176" s="822"/>
      <c r="H176" s="821"/>
    </row>
    <row r="177" spans="1:10">
      <c r="A177" s="1374"/>
      <c r="B177" s="1377"/>
      <c r="C177" s="28"/>
      <c r="D177" s="14"/>
      <c r="E177" s="1362"/>
      <c r="F177" s="27"/>
      <c r="G177" s="822"/>
      <c r="H177" s="24"/>
    </row>
    <row r="178" spans="1:10" s="92" customFormat="1" ht="16" thickBot="1">
      <c r="A178" s="1362">
        <v>96</v>
      </c>
      <c r="B178" s="1378" t="s">
        <v>261</v>
      </c>
      <c r="C178" s="1378"/>
      <c r="D178" s="10"/>
      <c r="E178" s="76"/>
      <c r="F178" s="498" t="s">
        <v>600</v>
      </c>
      <c r="G178" s="499"/>
      <c r="H178" s="500">
        <f>+H162+H163+H169+H175</f>
        <v>81996458.218142748</v>
      </c>
    </row>
    <row r="179" spans="1:10" ht="16" thickTop="1">
      <c r="B179" s="14"/>
      <c r="C179" s="14"/>
      <c r="D179" s="14"/>
      <c r="E179" s="1362"/>
    </row>
    <row r="180" spans="1:10" s="666" customFormat="1">
      <c r="A180" s="829" t="s">
        <v>570</v>
      </c>
      <c r="B180" s="634"/>
      <c r="C180" s="829"/>
      <c r="D180" s="634"/>
      <c r="E180" s="1363"/>
      <c r="F180" s="634"/>
      <c r="G180" s="634"/>
      <c r="H180" s="633"/>
    </row>
    <row r="181" spans="1:10">
      <c r="A181" s="644"/>
      <c r="B181" s="1362"/>
      <c r="C181" s="1"/>
      <c r="D181" s="14"/>
      <c r="E181" s="388"/>
      <c r="G181" s="5"/>
      <c r="H181" s="8"/>
    </row>
    <row r="182" spans="1:10">
      <c r="A182" s="1362">
        <v>97</v>
      </c>
      <c r="B182" s="1371" t="s">
        <v>129</v>
      </c>
      <c r="C182" s="1373"/>
      <c r="D182" s="14"/>
      <c r="E182" s="1367"/>
      <c r="F182" s="17" t="s">
        <v>1416</v>
      </c>
      <c r="G182" s="17"/>
      <c r="H182" s="105">
        <f>+'2 - Other Tax'!G44</f>
        <v>33711014.716224223</v>
      </c>
      <c r="I182" s="92"/>
      <c r="J182" s="92"/>
    </row>
    <row r="183" spans="1:10">
      <c r="A183" s="1362"/>
      <c r="B183" s="14"/>
      <c r="C183" s="14"/>
      <c r="D183" s="14"/>
      <c r="E183" s="1362"/>
      <c r="F183" s="28"/>
      <c r="G183" s="17"/>
    </row>
    <row r="184" spans="1:10" ht="16" thickBot="1">
      <c r="A184" s="1362">
        <v>98</v>
      </c>
      <c r="B184" s="10" t="s">
        <v>142</v>
      </c>
      <c r="C184" s="10"/>
      <c r="D184" s="10"/>
      <c r="E184" s="76"/>
      <c r="F184" s="11" t="s">
        <v>601</v>
      </c>
      <c r="G184" s="10"/>
      <c r="H184" s="11">
        <f>+H182</f>
        <v>33711014.716224223</v>
      </c>
      <c r="I184" s="92"/>
      <c r="J184" s="92"/>
    </row>
    <row r="185" spans="1:10" ht="16" thickTop="1">
      <c r="A185" s="1362"/>
      <c r="B185" s="14"/>
      <c r="C185" s="14"/>
      <c r="D185" s="14"/>
      <c r="E185" s="1362"/>
    </row>
    <row r="186" spans="1:10" s="666" customFormat="1">
      <c r="A186" s="829" t="s">
        <v>243</v>
      </c>
      <c r="B186" s="634"/>
      <c r="C186" s="829"/>
      <c r="D186" s="634"/>
      <c r="E186" s="1363"/>
      <c r="F186" s="634"/>
      <c r="G186" s="634"/>
      <c r="H186" s="633"/>
    </row>
    <row r="187" spans="1:10">
      <c r="B187" s="1362"/>
      <c r="C187" s="1"/>
      <c r="D187" s="14"/>
      <c r="E187" s="388"/>
      <c r="G187" s="5"/>
      <c r="H187" s="8"/>
    </row>
    <row r="188" spans="1:10">
      <c r="A188" s="1362"/>
      <c r="B188" s="1379" t="s">
        <v>144</v>
      </c>
      <c r="C188" s="14"/>
      <c r="D188" s="14"/>
      <c r="E188" s="388"/>
      <c r="G188" s="478"/>
    </row>
    <row r="189" spans="1:10">
      <c r="A189" s="1362">
        <v>99</v>
      </c>
      <c r="B189" s="1379"/>
      <c r="C189" s="14" t="s">
        <v>144</v>
      </c>
      <c r="D189" s="14"/>
      <c r="E189" s="388"/>
      <c r="F189" s="37" t="s">
        <v>67</v>
      </c>
      <c r="G189" s="478"/>
      <c r="H189" s="903">
        <f>150124305+2425372+808692</f>
        <v>153358369</v>
      </c>
      <c r="I189" s="92"/>
      <c r="J189" s="92"/>
    </row>
    <row r="190" spans="1:10">
      <c r="A190" s="1362">
        <v>100</v>
      </c>
      <c r="B190" s="1362"/>
      <c r="C190" s="721" t="s">
        <v>146</v>
      </c>
      <c r="D190" s="111"/>
      <c r="E190" s="1380" t="str">
        <f>"(Note "&amp;B$338&amp;")"</f>
        <v>(Note P)</v>
      </c>
      <c r="F190" s="1062" t="s">
        <v>54</v>
      </c>
      <c r="G190" s="638"/>
      <c r="H190" s="654">
        <f>+'8 - Securitization'!E14</f>
        <v>0</v>
      </c>
      <c r="I190" s="92"/>
      <c r="J190" s="92"/>
    </row>
    <row r="191" spans="1:10">
      <c r="A191" s="39">
        <v>101</v>
      </c>
      <c r="B191" s="39"/>
      <c r="C191" s="606" t="s">
        <v>144</v>
      </c>
      <c r="D191" s="17"/>
      <c r="E191" s="39"/>
      <c r="F191" s="608" t="s">
        <v>602</v>
      </c>
      <c r="G191" s="478"/>
      <c r="H191" s="478">
        <f>+H189-H190</f>
        <v>153358369</v>
      </c>
      <c r="I191" s="92"/>
      <c r="J191" s="92"/>
    </row>
    <row r="192" spans="1:10">
      <c r="A192" s="39"/>
      <c r="B192" s="39"/>
      <c r="C192" s="608"/>
      <c r="D192" s="17"/>
      <c r="E192" s="39"/>
      <c r="F192" s="17"/>
      <c r="G192" s="537"/>
      <c r="H192" s="537"/>
    </row>
    <row r="193" spans="1:11">
      <c r="A193" s="39">
        <v>102</v>
      </c>
      <c r="B193" s="606" t="s">
        <v>252</v>
      </c>
      <c r="C193" s="17"/>
      <c r="D193" s="17"/>
      <c r="E193" s="637" t="s">
        <v>284</v>
      </c>
      <c r="F193" s="608" t="s">
        <v>253</v>
      </c>
      <c r="G193" s="537"/>
      <c r="H193" s="53">
        <v>0</v>
      </c>
      <c r="I193" s="92"/>
      <c r="J193" s="92"/>
    </row>
    <row r="194" spans="1:11">
      <c r="A194" s="39"/>
      <c r="B194" s="39"/>
      <c r="C194" s="17"/>
      <c r="D194" s="17"/>
      <c r="E194" s="637"/>
      <c r="F194" s="608"/>
      <c r="G194" s="537"/>
      <c r="H194" s="537"/>
    </row>
    <row r="195" spans="1:11">
      <c r="A195" s="39"/>
      <c r="B195" s="92" t="s">
        <v>130</v>
      </c>
      <c r="C195" s="17"/>
      <c r="D195" s="17"/>
      <c r="E195" s="637"/>
      <c r="F195" s="608"/>
      <c r="G195" s="537"/>
      <c r="H195" s="537"/>
    </row>
    <row r="196" spans="1:11">
      <c r="A196" s="39">
        <v>103</v>
      </c>
      <c r="B196" s="39"/>
      <c r="C196" s="608" t="s">
        <v>294</v>
      </c>
      <c r="D196" s="608"/>
      <c r="E196" s="637"/>
      <c r="F196" s="608" t="s">
        <v>72</v>
      </c>
      <c r="G196" s="537"/>
      <c r="H196" s="602">
        <v>4772502489.2299995</v>
      </c>
      <c r="I196" s="92"/>
      <c r="J196" s="92"/>
    </row>
    <row r="197" spans="1:11">
      <c r="A197" s="39">
        <v>104</v>
      </c>
      <c r="B197" s="39"/>
      <c r="C197" s="608" t="s">
        <v>245</v>
      </c>
      <c r="D197" s="608"/>
      <c r="E197" s="637" t="s">
        <v>316</v>
      </c>
      <c r="F197" s="17" t="s">
        <v>603</v>
      </c>
      <c r="G197" s="537"/>
      <c r="H197" s="481">
        <f>-H209</f>
        <v>0</v>
      </c>
      <c r="I197" s="92"/>
      <c r="J197" s="92"/>
    </row>
    <row r="198" spans="1:11">
      <c r="A198" s="39">
        <v>105</v>
      </c>
      <c r="B198" s="39"/>
      <c r="C198" s="608" t="s">
        <v>244</v>
      </c>
      <c r="D198" s="608"/>
      <c r="E198" s="637" t="s">
        <v>316</v>
      </c>
      <c r="F198" s="608" t="s">
        <v>73</v>
      </c>
      <c r="G198" s="478"/>
      <c r="H198" s="640">
        <v>0</v>
      </c>
      <c r="I198" s="92"/>
      <c r="J198" s="92"/>
    </row>
    <row r="199" spans="1:11">
      <c r="A199" s="39" t="s">
        <v>1420</v>
      </c>
      <c r="B199" s="39"/>
      <c r="C199" s="673" t="s">
        <v>1421</v>
      </c>
      <c r="D199" s="673"/>
      <c r="E199" s="655" t="s">
        <v>316</v>
      </c>
      <c r="F199" s="673" t="s">
        <v>1422</v>
      </c>
      <c r="G199" s="638"/>
      <c r="H199" s="639">
        <v>-3329161.23</v>
      </c>
      <c r="I199" s="92"/>
      <c r="J199" s="92"/>
    </row>
    <row r="200" spans="1:11">
      <c r="A200" s="39">
        <v>106</v>
      </c>
      <c r="B200" s="39"/>
      <c r="C200" s="606" t="s">
        <v>130</v>
      </c>
      <c r="D200" s="608"/>
      <c r="E200" s="1401" t="str">
        <f>"(Note "&amp;B$366&amp;")"</f>
        <v>(Note Y)</v>
      </c>
      <c r="F200" s="608" t="s">
        <v>1477</v>
      </c>
      <c r="G200" s="54"/>
      <c r="H200" s="537">
        <f>+H196+H197+H199</f>
        <v>4769173328</v>
      </c>
      <c r="I200" s="92"/>
      <c r="J200" s="92"/>
    </row>
    <row r="201" spans="1:11">
      <c r="A201" s="39"/>
      <c r="B201" s="39"/>
      <c r="C201" s="17"/>
      <c r="D201" s="17"/>
      <c r="E201" s="637"/>
      <c r="F201" s="608"/>
      <c r="G201" s="5"/>
      <c r="H201" s="537"/>
    </row>
    <row r="202" spans="1:11">
      <c r="A202" s="39"/>
      <c r="B202" s="92" t="s">
        <v>246</v>
      </c>
      <c r="C202" s="17"/>
      <c r="D202" s="17"/>
      <c r="E202" s="637"/>
      <c r="F202" s="608"/>
      <c r="G202" s="5"/>
      <c r="H202" s="537"/>
    </row>
    <row r="203" spans="1:11">
      <c r="A203" s="39">
        <v>107</v>
      </c>
      <c r="B203" s="39"/>
      <c r="C203" s="17" t="s">
        <v>145</v>
      </c>
      <c r="D203" s="17"/>
      <c r="E203" s="39"/>
      <c r="F203" s="17" t="s">
        <v>68</v>
      </c>
      <c r="G203" s="5"/>
      <c r="H203" s="903">
        <v>4153846153.8499999</v>
      </c>
      <c r="I203" s="92"/>
      <c r="J203" s="92"/>
      <c r="K203" s="780"/>
    </row>
    <row r="204" spans="1:11">
      <c r="A204" s="39">
        <v>108</v>
      </c>
      <c r="B204" s="39"/>
      <c r="C204" s="17" t="s">
        <v>380</v>
      </c>
      <c r="D204" s="17"/>
      <c r="E204" s="637" t="str">
        <f>+E199</f>
        <v>enter negative</v>
      </c>
      <c r="F204" s="17" t="s">
        <v>69</v>
      </c>
      <c r="G204" s="5"/>
      <c r="H204" s="903">
        <v>-7789207.4300000025</v>
      </c>
      <c r="I204" s="92"/>
      <c r="J204" s="92"/>
      <c r="K204" s="780"/>
    </row>
    <row r="205" spans="1:11">
      <c r="A205" s="39">
        <v>109</v>
      </c>
      <c r="B205" s="39"/>
      <c r="C205" s="17" t="s">
        <v>381</v>
      </c>
      <c r="D205" s="17"/>
      <c r="E205" s="39" t="s">
        <v>382</v>
      </c>
      <c r="F205" s="17" t="s">
        <v>70</v>
      </c>
      <c r="G205" s="5"/>
      <c r="H205" s="903">
        <v>0</v>
      </c>
      <c r="I205" s="92"/>
      <c r="J205" s="92"/>
    </row>
    <row r="206" spans="1:11">
      <c r="A206" s="39">
        <v>110</v>
      </c>
      <c r="B206" s="39"/>
      <c r="C206" s="17" t="s">
        <v>80</v>
      </c>
      <c r="D206" s="17"/>
      <c r="E206" s="637" t="str">
        <f>+E204</f>
        <v>enter negative</v>
      </c>
      <c r="F206" s="17" t="s">
        <v>1537</v>
      </c>
      <c r="G206" s="16"/>
      <c r="H206" s="481">
        <f>-'1B - ADIT EOY'!E22</f>
        <v>2143395</v>
      </c>
      <c r="I206" s="92"/>
      <c r="J206" s="92"/>
    </row>
    <row r="207" spans="1:11">
      <c r="A207" s="39">
        <v>111</v>
      </c>
      <c r="B207" s="39"/>
      <c r="C207" s="17" t="s">
        <v>428</v>
      </c>
      <c r="D207" s="418" t="str">
        <f>"(Note "&amp;B$338&amp;")"</f>
        <v>(Note P)</v>
      </c>
      <c r="E207" s="655" t="s">
        <v>316</v>
      </c>
      <c r="F207" s="673" t="str">
        <f>+F190</f>
        <v>Attachment 8</v>
      </c>
      <c r="G207" s="5"/>
      <c r="H207" s="602">
        <f>-'8 - Securitization'!E18</f>
        <v>0</v>
      </c>
      <c r="I207" s="92"/>
      <c r="J207" s="92"/>
    </row>
    <row r="208" spans="1:11">
      <c r="A208" s="39">
        <v>112</v>
      </c>
      <c r="B208" s="39"/>
      <c r="C208" s="20" t="s">
        <v>137</v>
      </c>
      <c r="D208" s="1401"/>
      <c r="E208" s="1401" t="str">
        <f>"(Note "&amp;B$368&amp;")"</f>
        <v>(Note Z)</v>
      </c>
      <c r="F208" s="608" t="s">
        <v>604</v>
      </c>
      <c r="G208" s="18"/>
      <c r="H208" s="603">
        <f>SUM(H203:H207)</f>
        <v>4148200341.4200001</v>
      </c>
      <c r="I208" s="92"/>
      <c r="J208" s="92"/>
    </row>
    <row r="209" spans="1:10">
      <c r="A209" s="39">
        <v>113</v>
      </c>
      <c r="B209" s="39"/>
      <c r="C209" s="17" t="s">
        <v>159</v>
      </c>
      <c r="D209" s="17"/>
      <c r="E209" s="1401" t="str">
        <f>"(Note "&amp;B$370&amp;")"</f>
        <v>(Note AA)</v>
      </c>
      <c r="F209" s="17" t="s">
        <v>74</v>
      </c>
      <c r="G209" s="5"/>
      <c r="H209" s="602">
        <v>0</v>
      </c>
      <c r="I209" s="92"/>
      <c r="J209" s="92"/>
    </row>
    <row r="210" spans="1:10">
      <c r="A210" s="39">
        <v>114</v>
      </c>
      <c r="B210" s="39"/>
      <c r="C210" s="17" t="s">
        <v>130</v>
      </c>
      <c r="D210" s="17"/>
      <c r="E210" s="39"/>
      <c r="F210" s="673" t="s">
        <v>605</v>
      </c>
      <c r="G210" s="5"/>
      <c r="H210" s="478">
        <f>H200</f>
        <v>4769173328</v>
      </c>
      <c r="I210" s="92"/>
      <c r="J210" s="92"/>
    </row>
    <row r="211" spans="1:10">
      <c r="A211" s="39">
        <v>115</v>
      </c>
      <c r="B211" s="39"/>
      <c r="C211" s="646" t="s">
        <v>136</v>
      </c>
      <c r="D211" s="20"/>
      <c r="E211" s="77"/>
      <c r="F211" s="608" t="s">
        <v>606</v>
      </c>
      <c r="G211" s="635"/>
      <c r="H211" s="635">
        <f>H210+H209+H208</f>
        <v>8917373669.4200001</v>
      </c>
      <c r="I211" s="92"/>
      <c r="J211" s="92"/>
    </row>
    <row r="212" spans="1:10">
      <c r="A212" s="39"/>
      <c r="B212" s="39"/>
      <c r="C212" s="17"/>
      <c r="D212" s="17"/>
      <c r="E212" s="39"/>
      <c r="F212" s="17"/>
      <c r="G212" s="537"/>
      <c r="H212" s="388"/>
    </row>
    <row r="213" spans="1:10">
      <c r="A213" s="1362">
        <v>116</v>
      </c>
      <c r="B213" s="1362"/>
      <c r="C213" s="28" t="s">
        <v>338</v>
      </c>
      <c r="D213" s="14" t="s">
        <v>137</v>
      </c>
      <c r="E213" s="1362"/>
      <c r="F213" s="37" t="s">
        <v>607</v>
      </c>
      <c r="G213" s="537"/>
      <c r="H213" s="656">
        <f>IF(H211&gt;0,H208/H211,0)</f>
        <v>0.46518184559712472</v>
      </c>
      <c r="I213" s="92"/>
      <c r="J213" s="92"/>
    </row>
    <row r="214" spans="1:10">
      <c r="A214" s="1362">
        <v>117</v>
      </c>
      <c r="B214" s="1362"/>
      <c r="C214" s="28" t="s">
        <v>345</v>
      </c>
      <c r="D214" s="14" t="s">
        <v>159</v>
      </c>
      <c r="E214" s="1362"/>
      <c r="F214" s="37" t="s">
        <v>608</v>
      </c>
      <c r="G214" s="537"/>
      <c r="H214" s="656">
        <f>IF(H211&gt;0,H209/H211,0)</f>
        <v>0</v>
      </c>
      <c r="I214" s="92"/>
      <c r="J214" s="92"/>
    </row>
    <row r="215" spans="1:10">
      <c r="A215" s="1362">
        <v>118</v>
      </c>
      <c r="B215" s="1362"/>
      <c r="C215" s="28" t="s">
        <v>339</v>
      </c>
      <c r="D215" s="14" t="s">
        <v>130</v>
      </c>
      <c r="E215" s="1362"/>
      <c r="F215" s="37" t="s">
        <v>609</v>
      </c>
      <c r="G215" s="537"/>
      <c r="H215" s="656">
        <f>IF(H211&gt;0,H210/H211,0)</f>
        <v>0.53481815440287528</v>
      </c>
      <c r="I215" s="92"/>
      <c r="J215" s="92"/>
    </row>
    <row r="216" spans="1:10">
      <c r="A216" s="1362"/>
      <c r="B216" s="1362"/>
      <c r="C216" s="657"/>
      <c r="D216" s="14"/>
      <c r="E216" s="1362"/>
      <c r="F216" s="37"/>
      <c r="G216" s="537"/>
      <c r="H216" s="388"/>
    </row>
    <row r="217" spans="1:10">
      <c r="A217" s="1362">
        <v>119</v>
      </c>
      <c r="B217" s="1362"/>
      <c r="C217" s="657" t="s">
        <v>340</v>
      </c>
      <c r="D217" s="14" t="s">
        <v>137</v>
      </c>
      <c r="E217" s="1362"/>
      <c r="F217" s="37" t="s">
        <v>610</v>
      </c>
      <c r="G217" s="537"/>
      <c r="H217" s="658">
        <f>IF(H208&gt;0,H191/H208,0)</f>
        <v>3.6969855932151727E-2</v>
      </c>
      <c r="I217" s="92"/>
      <c r="J217" s="92"/>
    </row>
    <row r="218" spans="1:10">
      <c r="A218" s="1362">
        <v>120</v>
      </c>
      <c r="B218" s="1362"/>
      <c r="C218" s="657" t="s">
        <v>346</v>
      </c>
      <c r="D218" s="14" t="s">
        <v>159</v>
      </c>
      <c r="E218" s="1362"/>
      <c r="F218" s="37" t="s">
        <v>611</v>
      </c>
      <c r="G218" s="537"/>
      <c r="H218" s="658">
        <f>IF(H209&gt;0,H193/H209,0)</f>
        <v>0</v>
      </c>
      <c r="I218" s="92"/>
      <c r="J218" s="92"/>
    </row>
    <row r="219" spans="1:10">
      <c r="A219" s="1362">
        <v>121</v>
      </c>
      <c r="B219" s="1362"/>
      <c r="C219" s="657" t="s">
        <v>341</v>
      </c>
      <c r="D219" s="14" t="s">
        <v>130</v>
      </c>
      <c r="E219" s="1367" t="str">
        <f>"(Note "&amp;B$326&amp;")"</f>
        <v>(Note J)</v>
      </c>
      <c r="F219" s="1381" t="s">
        <v>317</v>
      </c>
      <c r="G219" s="537"/>
      <c r="H219" s="763">
        <v>0.105</v>
      </c>
      <c r="I219" s="92"/>
      <c r="J219" s="92"/>
    </row>
    <row r="220" spans="1:10">
      <c r="A220" s="1362"/>
      <c r="B220" s="1362"/>
      <c r="C220" s="657"/>
      <c r="D220" s="14"/>
      <c r="E220" s="1362"/>
      <c r="F220" s="37"/>
      <c r="G220" s="537"/>
      <c r="H220" s="5"/>
    </row>
    <row r="221" spans="1:10">
      <c r="A221" s="1362">
        <v>122</v>
      </c>
      <c r="B221" s="1362"/>
      <c r="C221" s="28" t="s">
        <v>342</v>
      </c>
      <c r="D221" s="14" t="s">
        <v>139</v>
      </c>
      <c r="E221" s="1362"/>
      <c r="F221" s="37" t="s">
        <v>612</v>
      </c>
      <c r="G221" s="659"/>
      <c r="H221" s="658">
        <f>H217*H213</f>
        <v>1.7197705813978149E-2</v>
      </c>
      <c r="I221" s="92"/>
      <c r="J221" s="92"/>
    </row>
    <row r="222" spans="1:10">
      <c r="A222" s="1362">
        <v>123</v>
      </c>
      <c r="B222" s="1362"/>
      <c r="C222" s="28" t="s">
        <v>347</v>
      </c>
      <c r="D222" s="14" t="s">
        <v>159</v>
      </c>
      <c r="E222" s="1362"/>
      <c r="F222" s="37" t="s">
        <v>613</v>
      </c>
      <c r="G222" s="31"/>
      <c r="H222" s="658">
        <f>H218*H214</f>
        <v>0</v>
      </c>
      <c r="I222" s="92"/>
      <c r="J222" s="92"/>
    </row>
    <row r="223" spans="1:10">
      <c r="A223" s="1362">
        <v>124</v>
      </c>
      <c r="B223" s="78"/>
      <c r="C223" s="1154" t="s">
        <v>343</v>
      </c>
      <c r="D223" s="111" t="s">
        <v>130</v>
      </c>
      <c r="E223" s="78"/>
      <c r="F223" s="1062" t="s">
        <v>614</v>
      </c>
      <c r="G223" s="660"/>
      <c r="H223" s="661">
        <f>H219*H215</f>
        <v>5.6155906212301904E-2</v>
      </c>
      <c r="I223" s="92"/>
      <c r="J223" s="92"/>
    </row>
    <row r="224" spans="1:10" s="92" customFormat="1">
      <c r="A224" s="1362">
        <v>125</v>
      </c>
      <c r="B224" s="1" t="s">
        <v>138</v>
      </c>
      <c r="C224" s="1"/>
      <c r="D224" s="1"/>
      <c r="E224" s="1361"/>
      <c r="F224" s="37" t="s">
        <v>615</v>
      </c>
      <c r="G224" s="36"/>
      <c r="H224" s="32">
        <f>SUM(H221:H223)</f>
        <v>7.3353612026280046E-2</v>
      </c>
    </row>
    <row r="225" spans="1:10" s="92" customFormat="1">
      <c r="A225" s="1361"/>
      <c r="B225" s="1361"/>
      <c r="C225" s="1"/>
      <c r="D225" s="1"/>
      <c r="E225" s="1361"/>
      <c r="F225" s="1379"/>
      <c r="G225" s="36"/>
      <c r="H225" s="32"/>
    </row>
    <row r="226" spans="1:10" ht="16" thickBot="1">
      <c r="A226" s="1362">
        <v>126</v>
      </c>
      <c r="B226" s="47" t="s">
        <v>250</v>
      </c>
      <c r="C226" s="46"/>
      <c r="D226" s="10"/>
      <c r="E226" s="79"/>
      <c r="F226" s="11" t="s">
        <v>616</v>
      </c>
      <c r="G226" s="48"/>
      <c r="H226" s="9">
        <f>+H121*H224</f>
        <v>119129183.03032018</v>
      </c>
      <c r="I226" s="92"/>
      <c r="J226" s="92"/>
    </row>
    <row r="227" spans="1:10" ht="16" thickTop="1">
      <c r="A227" s="1362"/>
      <c r="B227" s="1362"/>
      <c r="C227" s="14"/>
      <c r="D227" s="14"/>
      <c r="E227" s="1362"/>
      <c r="F227" s="37"/>
      <c r="G227" s="537"/>
      <c r="H227" s="658"/>
      <c r="I227" s="608"/>
      <c r="J227" s="608"/>
    </row>
    <row r="228" spans="1:10" s="666" customFormat="1">
      <c r="A228" s="829" t="s">
        <v>497</v>
      </c>
      <c r="B228" s="634"/>
      <c r="C228" s="829"/>
      <c r="D228" s="634"/>
      <c r="E228" s="1363"/>
      <c r="F228" s="634"/>
      <c r="G228" s="634"/>
      <c r="H228" s="633"/>
      <c r="I228" s="884"/>
      <c r="J228" s="884"/>
    </row>
    <row r="229" spans="1:10">
      <c r="B229" s="1362"/>
      <c r="C229" s="1"/>
      <c r="D229" s="14"/>
      <c r="E229" s="388"/>
      <c r="G229" s="5"/>
      <c r="H229" s="8"/>
    </row>
    <row r="230" spans="1:10">
      <c r="A230" s="1362" t="s">
        <v>154</v>
      </c>
      <c r="B230" s="1382" t="s">
        <v>251</v>
      </c>
      <c r="C230" s="14"/>
      <c r="D230" s="14"/>
      <c r="E230" s="388"/>
      <c r="F230" s="37"/>
      <c r="G230" s="662"/>
      <c r="H230" s="5"/>
    </row>
    <row r="231" spans="1:10">
      <c r="A231" s="1362">
        <v>127</v>
      </c>
      <c r="B231" s="1362"/>
      <c r="C231" s="14" t="s">
        <v>249</v>
      </c>
      <c r="D231" s="14"/>
      <c r="E231" s="1367" t="str">
        <f>"(Note "&amp;$B$324&amp;")"</f>
        <v>(Note I)</v>
      </c>
      <c r="G231" s="836"/>
      <c r="H231" s="837">
        <v>0.21</v>
      </c>
      <c r="I231" s="606"/>
      <c r="J231" s="606"/>
    </row>
    <row r="232" spans="1:10">
      <c r="A232" s="1362">
        <v>128</v>
      </c>
      <c r="B232" s="1362"/>
      <c r="C232" s="14" t="s">
        <v>248</v>
      </c>
      <c r="D232" s="1383"/>
      <c r="E232" s="1367" t="str">
        <f>"(Note "&amp;$B$324&amp;")"</f>
        <v>(Note I)</v>
      </c>
      <c r="G232" s="836"/>
      <c r="H232" s="837">
        <v>8.2500000000000004E-2</v>
      </c>
      <c r="I232" s="606"/>
      <c r="J232" s="606"/>
    </row>
    <row r="233" spans="1:10">
      <c r="A233" s="1362">
        <v>129</v>
      </c>
      <c r="B233" s="1362"/>
      <c r="C233" s="14" t="s">
        <v>1478</v>
      </c>
      <c r="D233" s="28" t="s">
        <v>1479</v>
      </c>
      <c r="E233" s="1362"/>
      <c r="F233" s="14" t="s">
        <v>430</v>
      </c>
      <c r="G233" s="836"/>
      <c r="H233" s="837">
        <v>0</v>
      </c>
      <c r="I233" s="606"/>
      <c r="J233" s="606"/>
    </row>
    <row r="234" spans="1:10">
      <c r="A234" s="1362">
        <v>130</v>
      </c>
      <c r="B234" s="1362"/>
      <c r="C234" s="14" t="s">
        <v>319</v>
      </c>
      <c r="D234" s="663" t="s">
        <v>336</v>
      </c>
      <c r="E234" s="1362"/>
      <c r="G234" s="836"/>
      <c r="H234" s="22">
        <f>IF(H231&gt;0,1-(((1-H232)*(1-H231))/(1-H232*H231*H233)),0)</f>
        <v>0.27517499999999995</v>
      </c>
      <c r="I234" s="606"/>
      <c r="J234" s="606"/>
    </row>
    <row r="235" spans="1:10">
      <c r="A235" s="1362" t="s">
        <v>942</v>
      </c>
      <c r="B235" s="1362"/>
      <c r="C235" s="14" t="s">
        <v>308</v>
      </c>
      <c r="D235" s="1383"/>
      <c r="E235" s="1362"/>
      <c r="G235" s="836"/>
      <c r="H235" s="838">
        <f>+H234/(1-H234)</f>
        <v>0.37964336219087358</v>
      </c>
      <c r="I235" s="606"/>
      <c r="J235" s="606"/>
    </row>
    <row r="236" spans="1:10">
      <c r="A236" s="1362" t="s">
        <v>943</v>
      </c>
      <c r="B236" s="1362"/>
      <c r="C236" s="17" t="s">
        <v>928</v>
      </c>
      <c r="D236" s="1402" t="s">
        <v>929</v>
      </c>
      <c r="E236" s="39"/>
      <c r="F236" s="17"/>
      <c r="G236" s="836"/>
      <c r="H236" s="851">
        <f>1*1/(1-H234)</f>
        <v>1.3796433621908735</v>
      </c>
      <c r="I236" s="43"/>
      <c r="J236" s="43"/>
    </row>
    <row r="237" spans="1:10">
      <c r="A237" s="1362"/>
      <c r="B237" s="1362"/>
      <c r="C237" s="17"/>
      <c r="D237" s="17"/>
      <c r="E237" s="1403"/>
      <c r="F237" s="1404"/>
      <c r="G237" s="662"/>
      <c r="H237" s="22"/>
      <c r="I237" s="43"/>
      <c r="J237" s="43"/>
    </row>
    <row r="238" spans="1:10">
      <c r="A238" s="1362"/>
      <c r="B238" s="1407" t="s">
        <v>1466</v>
      </c>
      <c r="C238" s="17"/>
      <c r="D238" s="17"/>
      <c r="E238" s="73" t="str">
        <f>"(Note "&amp;B349&amp;")"</f>
        <v>(Note T)</v>
      </c>
      <c r="F238" s="608"/>
      <c r="G238" s="662"/>
      <c r="H238" s="852"/>
      <c r="I238" s="43"/>
      <c r="J238" s="43"/>
    </row>
    <row r="239" spans="1:10">
      <c r="A239" s="1362">
        <v>132</v>
      </c>
      <c r="B239" s="1362"/>
      <c r="C239" s="17" t="s">
        <v>955</v>
      </c>
      <c r="D239" s="17"/>
      <c r="E239" s="637" t="s">
        <v>316</v>
      </c>
      <c r="F239" s="27" t="s">
        <v>1159</v>
      </c>
      <c r="G239" s="662"/>
      <c r="H239" s="602">
        <f>-('1B - ADIT EOY'!G307+'1B - ADIT EOY'!H307)</f>
        <v>-20408</v>
      </c>
      <c r="I239" s="43"/>
      <c r="J239" s="43"/>
    </row>
    <row r="240" spans="1:10">
      <c r="A240" s="1362">
        <f>+A239+1</f>
        <v>133</v>
      </c>
      <c r="B240" s="1362"/>
      <c r="C240" s="17" t="s">
        <v>953</v>
      </c>
      <c r="D240" s="17"/>
      <c r="E240" s="39"/>
      <c r="F240" s="608" t="str">
        <f>"(Line "&amp;A236&amp;")"</f>
        <v>(Line 131b)</v>
      </c>
      <c r="G240" s="662"/>
      <c r="H240" s="853">
        <f>1/(1-H234)</f>
        <v>1.3796433621908735</v>
      </c>
      <c r="I240" s="43"/>
      <c r="J240" s="43"/>
    </row>
    <row r="241" spans="1:11" s="44" customFormat="1">
      <c r="A241" s="1362">
        <f>+A240+1</f>
        <v>134</v>
      </c>
      <c r="B241" s="1362"/>
      <c r="C241" s="40" t="s">
        <v>237</v>
      </c>
      <c r="D241" s="40"/>
      <c r="E241" s="131"/>
      <c r="F241" s="673" t="str">
        <f>"(Line "&amp;A$39&amp;")"</f>
        <v>(Line 18)</v>
      </c>
      <c r="G241" s="839"/>
      <c r="H241" s="55">
        <f>H39</f>
        <v>0.27803363792827679</v>
      </c>
      <c r="I241" s="43"/>
      <c r="J241" s="43"/>
    </row>
    <row r="242" spans="1:11">
      <c r="A242" s="1362">
        <v>135</v>
      </c>
      <c r="B242" s="1362"/>
      <c r="C242" s="487" t="s">
        <v>247</v>
      </c>
      <c r="D242" s="20"/>
      <c r="E242" s="73"/>
      <c r="F242" s="608" t="str">
        <f>"(Line "&amp;A239&amp;" *  "&amp;A240&amp;" * "&amp;A241&amp;")"</f>
        <v>(Line 132 *  133 * 134)</v>
      </c>
      <c r="G242" s="824"/>
      <c r="H242" s="603">
        <f>H239*H240*H241</f>
        <v>-7828.248863988234</v>
      </c>
      <c r="I242" s="43"/>
      <c r="J242" s="43"/>
    </row>
    <row r="243" spans="1:11">
      <c r="A243" s="1362"/>
      <c r="B243" s="1362"/>
      <c r="C243" s="27"/>
      <c r="D243" s="17"/>
      <c r="E243" s="71"/>
      <c r="F243" s="1405"/>
      <c r="G243" s="839"/>
      <c r="H243" s="854"/>
      <c r="I243" s="43"/>
      <c r="J243" s="43"/>
    </row>
    <row r="244" spans="1:11">
      <c r="A244" s="1362"/>
      <c r="B244" s="1371" t="s">
        <v>782</v>
      </c>
      <c r="C244" s="27"/>
      <c r="D244" s="17"/>
      <c r="E244" s="71"/>
      <c r="F244" s="1405"/>
      <c r="G244" s="839"/>
      <c r="H244" s="854"/>
      <c r="I244" s="43"/>
      <c r="J244" s="43"/>
    </row>
    <row r="245" spans="1:11">
      <c r="A245" s="1362" t="s">
        <v>944</v>
      </c>
      <c r="B245" s="28"/>
      <c r="C245" s="27" t="s">
        <v>787</v>
      </c>
      <c r="D245" s="17"/>
      <c r="E245" s="73" t="str">
        <f>"(Note "&amp;$B$352&amp;")"</f>
        <v>(Note V)</v>
      </c>
      <c r="F245" s="17" t="s">
        <v>931</v>
      </c>
      <c r="G245" s="839"/>
      <c r="H245" s="855">
        <f>+'5 - Cost Support'!L253</f>
        <v>815721.89062499988</v>
      </c>
      <c r="I245" s="43"/>
      <c r="J245" s="43"/>
    </row>
    <row r="246" spans="1:11">
      <c r="A246" s="1362" t="s">
        <v>930</v>
      </c>
      <c r="B246" s="28"/>
      <c r="C246" s="27" t="s">
        <v>970</v>
      </c>
      <c r="D246" s="17"/>
      <c r="E246" s="73" t="str">
        <f>"(Note "&amp;$B$352&amp;")"</f>
        <v>(Note V)</v>
      </c>
      <c r="F246" s="17" t="s">
        <v>933</v>
      </c>
      <c r="G246" s="839"/>
      <c r="H246" s="855">
        <f>+'5 - Cost Support'!L255</f>
        <v>-9715279</v>
      </c>
      <c r="I246" s="43"/>
      <c r="J246" s="43"/>
    </row>
    <row r="247" spans="1:11">
      <c r="A247" s="1362" t="s">
        <v>932</v>
      </c>
      <c r="B247" s="28"/>
      <c r="C247" s="27" t="s">
        <v>971</v>
      </c>
      <c r="D247" s="17"/>
      <c r="E247" s="73" t="str">
        <f>"(Note "&amp;$B$352&amp;")"</f>
        <v>(Note V)</v>
      </c>
      <c r="F247" s="17" t="s">
        <v>935</v>
      </c>
      <c r="G247" s="839"/>
      <c r="H247" s="855">
        <f>+'5 - Cost Support'!L256</f>
        <v>0</v>
      </c>
      <c r="I247" s="43"/>
      <c r="J247" s="43"/>
    </row>
    <row r="248" spans="1:11">
      <c r="A248" s="1362" t="s">
        <v>934</v>
      </c>
      <c r="B248" s="28"/>
      <c r="C248" s="40" t="s">
        <v>789</v>
      </c>
      <c r="D248" s="314"/>
      <c r="E248" s="88" t="str">
        <f>"(Note "&amp;$B$352&amp;")"</f>
        <v>(Note V)</v>
      </c>
      <c r="F248" s="314" t="s">
        <v>937</v>
      </c>
      <c r="G248" s="825"/>
      <c r="H248" s="856">
        <f>+'5 - Cost Support'!L257</f>
        <v>453192</v>
      </c>
      <c r="I248" s="43"/>
      <c r="J248" s="43"/>
    </row>
    <row r="249" spans="1:11">
      <c r="A249" s="1362" t="s">
        <v>936</v>
      </c>
      <c r="B249" s="28"/>
      <c r="C249" s="27" t="s">
        <v>939</v>
      </c>
      <c r="D249" s="17"/>
      <c r="E249" s="73"/>
      <c r="F249" s="608" t="str">
        <f>"(Line "&amp;A245&amp;" + "&amp;A246&amp;" + "&amp;A247&amp;" + "&amp;A248&amp;")"</f>
        <v>(Line 136a + 136b + 136c + 136d)</v>
      </c>
      <c r="G249" s="839"/>
      <c r="H249" s="37">
        <f>H245+H246+H247+H248</f>
        <v>-8446365.109375</v>
      </c>
      <c r="I249" s="886"/>
      <c r="J249" s="886"/>
    </row>
    <row r="250" spans="1:11">
      <c r="A250" s="1362" t="s">
        <v>938</v>
      </c>
      <c r="B250" s="1362"/>
      <c r="C250" s="314" t="s">
        <v>928</v>
      </c>
      <c r="D250" s="314"/>
      <c r="E250" s="1406"/>
      <c r="F250" s="673" t="str">
        <f>"(Line "&amp;A236&amp;")"</f>
        <v>(Line 131b)</v>
      </c>
      <c r="G250" s="825"/>
      <c r="H250" s="853">
        <f>1/(1-H234)</f>
        <v>1.3796433621908735</v>
      </c>
      <c r="I250" s="43"/>
      <c r="J250" s="43"/>
    </row>
    <row r="251" spans="1:11">
      <c r="A251" s="1362" t="s">
        <v>940</v>
      </c>
      <c r="B251" s="1362"/>
      <c r="C251" s="28" t="s">
        <v>782</v>
      </c>
      <c r="D251" s="14"/>
      <c r="E251" s="1374" t="s">
        <v>154</v>
      </c>
      <c r="F251" s="37" t="str">
        <f>"(Line "&amp;A249&amp;" * "&amp;A250&amp;")"</f>
        <v>(Line 136e * 136f)</v>
      </c>
      <c r="G251" s="839"/>
      <c r="H251" s="29">
        <f>H249*H250</f>
        <v>-11652971.55778981</v>
      </c>
      <c r="I251" s="886"/>
      <c r="J251" s="886"/>
      <c r="K251" s="886"/>
    </row>
    <row r="252" spans="1:11">
      <c r="A252" s="1362"/>
      <c r="B252" s="1362"/>
      <c r="C252" s="14"/>
      <c r="D252" s="14"/>
      <c r="E252" s="642"/>
      <c r="F252" s="663"/>
      <c r="G252" s="662"/>
      <c r="H252" s="22"/>
    </row>
    <row r="253" spans="1:11">
      <c r="A253" s="1362" t="s">
        <v>941</v>
      </c>
      <c r="B253" s="1" t="s">
        <v>281</v>
      </c>
      <c r="C253" s="14"/>
      <c r="D253" s="14" t="s">
        <v>285</v>
      </c>
      <c r="E253" s="388"/>
      <c r="F253" s="37" t="s">
        <v>957</v>
      </c>
      <c r="G253" s="5"/>
      <c r="H253" s="129">
        <f>+H235*H226*(1-H221/H224)</f>
        <v>34623256.28992714</v>
      </c>
      <c r="I253" s="606"/>
      <c r="J253" s="606"/>
    </row>
    <row r="254" spans="1:11">
      <c r="A254" s="1362"/>
      <c r="B254" s="1362"/>
      <c r="C254" s="28"/>
      <c r="D254" s="14"/>
      <c r="E254" s="1362"/>
      <c r="F254" s="822"/>
      <c r="G254" s="839"/>
      <c r="H254" s="821"/>
      <c r="I254" s="607"/>
      <c r="J254" s="607"/>
    </row>
    <row r="255" spans="1:11" ht="16" thickBot="1">
      <c r="A255" s="1362">
        <v>137</v>
      </c>
      <c r="B255" s="47" t="s">
        <v>126</v>
      </c>
      <c r="C255" s="47"/>
      <c r="D255" s="10"/>
      <c r="E255" s="76"/>
      <c r="F255" s="10" t="str">
        <f>"(Line "&amp;A242&amp;" + "&amp;A251&amp;" + "&amp;A253&amp;")"</f>
        <v>(Line 135 + 136g + 136h)</v>
      </c>
      <c r="G255" s="811"/>
      <c r="H255" s="70">
        <f>+H253+H242+H251</f>
        <v>22962456.483273342</v>
      </c>
      <c r="I255" s="606"/>
      <c r="J255" s="606"/>
    </row>
    <row r="256" spans="1:11" ht="16" thickTop="1">
      <c r="A256" s="1362"/>
      <c r="B256" s="1362"/>
      <c r="C256" s="663"/>
      <c r="D256" s="14"/>
      <c r="E256" s="1362"/>
      <c r="F256" s="835"/>
      <c r="G256" s="664"/>
      <c r="H256" s="665"/>
    </row>
    <row r="257" spans="1:15" s="666" customFormat="1">
      <c r="A257" s="829" t="s">
        <v>140</v>
      </c>
      <c r="B257" s="634"/>
      <c r="C257" s="829"/>
      <c r="D257" s="634"/>
      <c r="E257" s="1363"/>
      <c r="F257" s="634"/>
      <c r="G257" s="634"/>
      <c r="H257" s="633"/>
    </row>
    <row r="258" spans="1:15">
      <c r="A258" s="1362"/>
      <c r="B258" s="14"/>
      <c r="C258" s="14"/>
      <c r="D258" s="14"/>
      <c r="E258" s="1362"/>
      <c r="I258" s="666"/>
      <c r="J258" s="666"/>
      <c r="K258" s="666"/>
      <c r="L258" s="666"/>
      <c r="M258" s="666"/>
      <c r="N258" s="666"/>
      <c r="O258" s="666"/>
    </row>
    <row r="259" spans="1:15">
      <c r="A259" s="1362"/>
      <c r="B259" s="1" t="s">
        <v>127</v>
      </c>
      <c r="C259" s="14"/>
      <c r="D259" s="14"/>
      <c r="E259" s="1362"/>
      <c r="I259" s="666"/>
      <c r="J259" s="666"/>
      <c r="K259" s="666"/>
      <c r="L259" s="666"/>
      <c r="M259" s="666"/>
      <c r="N259" s="666"/>
      <c r="O259" s="666"/>
    </row>
    <row r="260" spans="1:15">
      <c r="A260" s="1362">
        <v>138</v>
      </c>
      <c r="B260" s="14"/>
      <c r="C260" s="14" t="s">
        <v>128</v>
      </c>
      <c r="D260" s="14"/>
      <c r="E260" s="1362"/>
      <c r="F260" s="37" t="str">
        <f>"(Line "&amp;A73&amp;")"</f>
        <v>(Line 39)</v>
      </c>
      <c r="H260" s="37">
        <f>+H73</f>
        <v>1945758884.7067108</v>
      </c>
      <c r="I260" s="666"/>
      <c r="J260" s="666"/>
      <c r="K260" s="666"/>
      <c r="L260" s="666"/>
      <c r="M260" s="666"/>
      <c r="N260" s="666"/>
      <c r="O260" s="666"/>
    </row>
    <row r="261" spans="1:15">
      <c r="A261" s="1362">
        <v>139</v>
      </c>
      <c r="B261" s="14"/>
      <c r="C261" s="14" t="s">
        <v>276</v>
      </c>
      <c r="D261" s="14"/>
      <c r="E261" s="1362"/>
      <c r="F261" s="1062" t="s">
        <v>617</v>
      </c>
      <c r="H261" s="37">
        <f>+H119</f>
        <v>-321719117.07208705</v>
      </c>
      <c r="I261" s="666"/>
      <c r="J261" s="666"/>
      <c r="K261" s="666"/>
      <c r="L261" s="666"/>
      <c r="M261" s="666"/>
      <c r="N261" s="666"/>
      <c r="O261" s="666"/>
    </row>
    <row r="262" spans="1:15">
      <c r="A262" s="1362">
        <v>140</v>
      </c>
      <c r="B262" s="1362"/>
      <c r="C262" s="7" t="s">
        <v>280</v>
      </c>
      <c r="D262" s="7"/>
      <c r="E262" s="81"/>
      <c r="F262" s="37" t="s">
        <v>618</v>
      </c>
      <c r="G262" s="58"/>
      <c r="H262" s="59">
        <f>+H121</f>
        <v>1624039767.6346238</v>
      </c>
      <c r="I262" s="666"/>
      <c r="J262" s="666"/>
      <c r="K262" s="666"/>
      <c r="L262" s="666"/>
      <c r="M262" s="666"/>
      <c r="N262" s="666"/>
      <c r="O262" s="666"/>
    </row>
    <row r="263" spans="1:15">
      <c r="A263" s="1362"/>
      <c r="B263" s="1362"/>
      <c r="C263" s="14"/>
      <c r="D263" s="14"/>
      <c r="E263" s="388"/>
      <c r="G263" s="5"/>
      <c r="H263" s="37"/>
      <c r="I263" s="666"/>
      <c r="J263" s="666"/>
      <c r="K263" s="666"/>
      <c r="L263" s="666"/>
      <c r="M263" s="666"/>
      <c r="N263" s="666"/>
      <c r="O263" s="666"/>
    </row>
    <row r="264" spans="1:15">
      <c r="A264" s="1362">
        <v>141</v>
      </c>
      <c r="B264" s="14"/>
      <c r="C264" s="14" t="s">
        <v>321</v>
      </c>
      <c r="D264" s="14"/>
      <c r="E264" s="1362"/>
      <c r="F264" s="37" t="s">
        <v>585</v>
      </c>
      <c r="H264" s="37">
        <f>+H157</f>
        <v>63972978.705814116</v>
      </c>
      <c r="I264" s="666"/>
      <c r="J264" s="666"/>
      <c r="K264" s="666"/>
      <c r="L264" s="666"/>
      <c r="M264" s="666"/>
      <c r="N264" s="666"/>
      <c r="O264" s="666"/>
    </row>
    <row r="265" spans="1:15">
      <c r="A265" s="1362">
        <v>142</v>
      </c>
      <c r="B265" s="14"/>
      <c r="C265" s="28" t="s">
        <v>255</v>
      </c>
      <c r="D265" s="14"/>
      <c r="E265" s="1362"/>
      <c r="F265" s="37" t="s">
        <v>619</v>
      </c>
      <c r="H265" s="37">
        <f>+H178</f>
        <v>81996458.218142748</v>
      </c>
      <c r="I265" s="666"/>
      <c r="J265" s="666"/>
      <c r="K265" s="666"/>
      <c r="L265" s="666"/>
      <c r="M265" s="666"/>
      <c r="N265" s="666"/>
      <c r="O265" s="666"/>
    </row>
    <row r="266" spans="1:15">
      <c r="A266" s="1362">
        <v>143</v>
      </c>
      <c r="B266" s="1362"/>
      <c r="C266" s="14" t="s">
        <v>129</v>
      </c>
      <c r="D266" s="14"/>
      <c r="E266" s="388"/>
      <c r="F266" s="37" t="s">
        <v>620</v>
      </c>
      <c r="G266" s="5"/>
      <c r="H266" s="37">
        <f>+H184</f>
        <v>33711014.716224223</v>
      </c>
      <c r="I266" s="666"/>
      <c r="J266" s="666"/>
      <c r="K266" s="666"/>
      <c r="L266" s="666"/>
      <c r="M266" s="666"/>
      <c r="N266" s="666"/>
      <c r="O266" s="666"/>
    </row>
    <row r="267" spans="1:15">
      <c r="A267" s="1362">
        <v>144</v>
      </c>
      <c r="B267" s="1362"/>
      <c r="C267" s="663" t="s">
        <v>303</v>
      </c>
      <c r="D267" s="14"/>
      <c r="E267" s="388"/>
      <c r="F267" s="37" t="s">
        <v>621</v>
      </c>
      <c r="G267" s="5"/>
      <c r="H267" s="37">
        <f>+H226</f>
        <v>119129183.03032018</v>
      </c>
      <c r="I267" s="666"/>
      <c r="J267" s="666"/>
      <c r="K267" s="666"/>
      <c r="L267" s="666"/>
      <c r="M267" s="666"/>
      <c r="N267" s="666"/>
      <c r="O267" s="666"/>
    </row>
    <row r="268" spans="1:15">
      <c r="A268" s="1362">
        <v>145</v>
      </c>
      <c r="B268" s="1362"/>
      <c r="C268" s="663" t="s">
        <v>304</v>
      </c>
      <c r="D268" s="14"/>
      <c r="E268" s="388"/>
      <c r="F268" s="37" t="s">
        <v>622</v>
      </c>
      <c r="G268" s="5"/>
      <c r="H268" s="37">
        <f>+H255</f>
        <v>22962456.483273342</v>
      </c>
      <c r="I268" s="666"/>
      <c r="J268" s="666"/>
      <c r="K268" s="666"/>
      <c r="L268" s="666"/>
      <c r="M268" s="666"/>
      <c r="N268" s="666"/>
      <c r="O268" s="666"/>
    </row>
    <row r="269" spans="1:15" ht="16" thickBot="1">
      <c r="A269" s="1362"/>
      <c r="B269" s="1362"/>
      <c r="C269" s="663"/>
      <c r="D269" s="14"/>
      <c r="E269" s="388"/>
      <c r="G269" s="5"/>
      <c r="H269" s="37"/>
      <c r="I269" s="666"/>
      <c r="J269" s="666"/>
      <c r="K269" s="666"/>
      <c r="L269" s="666"/>
      <c r="M269" s="666"/>
      <c r="N269" s="666"/>
      <c r="O269" s="666"/>
    </row>
    <row r="270" spans="1:15" ht="18.5" thickBot="1">
      <c r="A270" s="1384">
        <v>146</v>
      </c>
      <c r="B270" s="1385"/>
      <c r="C270" s="1386" t="s">
        <v>305</v>
      </c>
      <c r="D270" s="1386"/>
      <c r="E270" s="667"/>
      <c r="F270" s="64" t="s">
        <v>623</v>
      </c>
      <c r="G270" s="62"/>
      <c r="H270" s="64">
        <f>SUM(H268,H267,H266,H265,H264)</f>
        <v>321772091.15377462</v>
      </c>
      <c r="I270" s="666"/>
      <c r="J270" s="666"/>
      <c r="K270" s="666"/>
      <c r="L270" s="666"/>
      <c r="M270" s="666"/>
      <c r="N270" s="666"/>
      <c r="O270" s="666"/>
    </row>
    <row r="271" spans="1:15" ht="18">
      <c r="A271" s="1360"/>
      <c r="B271" s="1387"/>
      <c r="C271" s="1388"/>
      <c r="D271" s="1388"/>
      <c r="E271" s="1389"/>
      <c r="F271" s="1379"/>
      <c r="G271" s="90"/>
      <c r="H271" s="668"/>
      <c r="I271" s="666"/>
      <c r="J271" s="666"/>
      <c r="K271" s="666"/>
      <c r="L271" s="666"/>
      <c r="M271" s="666"/>
      <c r="N271" s="666"/>
      <c r="O271" s="666"/>
    </row>
    <row r="272" spans="1:15" ht="18">
      <c r="A272" s="1360"/>
      <c r="B272" s="1371" t="s">
        <v>183</v>
      </c>
      <c r="C272" s="1388"/>
      <c r="D272" s="1388"/>
      <c r="E272" s="1389"/>
      <c r="F272" s="1379"/>
      <c r="G272" s="90"/>
      <c r="H272" s="668"/>
      <c r="I272" s="666"/>
      <c r="J272" s="666"/>
      <c r="K272" s="666"/>
      <c r="L272" s="666"/>
      <c r="M272" s="666"/>
      <c r="N272" s="666"/>
      <c r="O272" s="666"/>
    </row>
    <row r="273" spans="1:15" ht="18">
      <c r="A273" s="1362">
        <v>147</v>
      </c>
      <c r="B273" s="1362"/>
      <c r="C273" s="14" t="str">
        <f>+C44</f>
        <v>Transmission Plant In Service</v>
      </c>
      <c r="D273" s="1388"/>
      <c r="E273" s="1389"/>
      <c r="F273" s="37" t="s">
        <v>624</v>
      </c>
      <c r="G273" s="90"/>
      <c r="H273" s="669">
        <f>+H44</f>
        <v>2357917522.8346162</v>
      </c>
      <c r="I273" s="666"/>
      <c r="J273" s="666"/>
      <c r="K273" s="666"/>
      <c r="L273" s="666"/>
      <c r="M273" s="666"/>
      <c r="N273" s="666"/>
      <c r="O273" s="666"/>
    </row>
    <row r="274" spans="1:15" ht="18">
      <c r="A274" s="1362">
        <v>148</v>
      </c>
      <c r="B274" s="1362"/>
      <c r="C274" s="111" t="s">
        <v>184</v>
      </c>
      <c r="D274" s="1390"/>
      <c r="E274" s="407" t="str">
        <f>"(Note "&amp;B$332&amp;")"</f>
        <v>(Note M)</v>
      </c>
      <c r="F274" s="1062" t="s">
        <v>55</v>
      </c>
      <c r="G274" s="90"/>
      <c r="H274" s="670">
        <f>+'5 - Cost Support'!G115</f>
        <v>0</v>
      </c>
      <c r="I274" s="666"/>
      <c r="J274" s="666"/>
      <c r="K274" s="666"/>
      <c r="L274" s="666"/>
      <c r="M274" s="666"/>
      <c r="N274" s="666"/>
      <c r="O274" s="666"/>
    </row>
    <row r="275" spans="1:15" ht="18">
      <c r="A275" s="1362">
        <v>149</v>
      </c>
      <c r="B275" s="1362"/>
      <c r="C275" s="14" t="s">
        <v>185</v>
      </c>
      <c r="D275" s="1388"/>
      <c r="E275" s="1389"/>
      <c r="F275" s="37" t="s">
        <v>625</v>
      </c>
      <c r="G275" s="90"/>
      <c r="H275" s="669">
        <f>+H273-H274</f>
        <v>2357917522.8346162</v>
      </c>
      <c r="I275" s="666"/>
      <c r="J275" s="666"/>
      <c r="K275" s="666"/>
      <c r="L275" s="666"/>
      <c r="M275" s="666"/>
      <c r="N275" s="666"/>
      <c r="O275" s="666"/>
    </row>
    <row r="276" spans="1:15" ht="18">
      <c r="A276" s="1362">
        <v>150</v>
      </c>
      <c r="B276" s="1362"/>
      <c r="C276" s="14" t="s">
        <v>186</v>
      </c>
      <c r="D276" s="1388"/>
      <c r="E276" s="1389"/>
      <c r="F276" s="37" t="s">
        <v>626</v>
      </c>
      <c r="G276" s="90"/>
      <c r="H276" s="671">
        <f>+H275/H273</f>
        <v>1</v>
      </c>
      <c r="I276" s="666"/>
      <c r="J276" s="666"/>
      <c r="K276" s="666"/>
      <c r="L276" s="666"/>
      <c r="M276" s="666"/>
      <c r="N276" s="666"/>
      <c r="O276" s="666"/>
    </row>
    <row r="277" spans="1:15" ht="18">
      <c r="A277" s="1362">
        <v>151</v>
      </c>
      <c r="B277" s="1362"/>
      <c r="C277" s="111" t="s">
        <v>305</v>
      </c>
      <c r="D277" s="1390"/>
      <c r="E277" s="672"/>
      <c r="F277" s="1062" t="s">
        <v>627</v>
      </c>
      <c r="G277" s="90"/>
      <c r="H277" s="673">
        <f>+H270</f>
        <v>321772091.15377462</v>
      </c>
      <c r="I277" s="666"/>
      <c r="J277" s="666"/>
      <c r="K277" s="666"/>
      <c r="L277" s="666"/>
      <c r="M277" s="666"/>
      <c r="N277" s="666"/>
      <c r="O277" s="666"/>
    </row>
    <row r="278" spans="1:15" ht="18">
      <c r="A278" s="1362">
        <v>152</v>
      </c>
      <c r="B278" s="1362"/>
      <c r="C278" s="1" t="s">
        <v>187</v>
      </c>
      <c r="D278" s="1388"/>
      <c r="E278" s="1389"/>
      <c r="F278" s="37" t="s">
        <v>628</v>
      </c>
      <c r="G278" s="90"/>
      <c r="H278" s="95">
        <f>+H277*H276</f>
        <v>321772091.15377462</v>
      </c>
      <c r="I278" s="666"/>
      <c r="J278" s="666"/>
      <c r="K278" s="666"/>
      <c r="L278" s="666"/>
      <c r="M278" s="666"/>
      <c r="N278" s="666"/>
      <c r="O278" s="666"/>
    </row>
    <row r="279" spans="1:15">
      <c r="A279" s="644"/>
      <c r="B279" s="1362"/>
      <c r="C279" s="14"/>
      <c r="D279" s="14"/>
      <c r="E279" s="388"/>
      <c r="G279" s="5"/>
      <c r="H279" s="8"/>
      <c r="I279" s="666"/>
      <c r="J279" s="666"/>
      <c r="K279" s="666"/>
      <c r="L279" s="666"/>
      <c r="M279" s="666"/>
      <c r="N279" s="666"/>
      <c r="O279" s="666"/>
    </row>
    <row r="280" spans="1:15">
      <c r="A280" s="644"/>
      <c r="B280" s="1371" t="s">
        <v>437</v>
      </c>
      <c r="C280" s="14"/>
      <c r="D280" s="14"/>
      <c r="E280" s="388"/>
      <c r="G280" s="5"/>
      <c r="H280" s="8"/>
      <c r="I280" s="666"/>
      <c r="J280" s="666"/>
      <c r="K280" s="666"/>
      <c r="L280" s="666"/>
      <c r="M280" s="666"/>
      <c r="N280" s="666"/>
      <c r="O280" s="666"/>
    </row>
    <row r="281" spans="1:15">
      <c r="A281" s="1362">
        <v>153</v>
      </c>
      <c r="B281" s="14"/>
      <c r="C281" s="1371" t="s">
        <v>132</v>
      </c>
      <c r="D281" s="14"/>
      <c r="E281" s="388"/>
      <c r="F281" s="14" t="s">
        <v>56</v>
      </c>
      <c r="G281" s="5"/>
      <c r="H281" s="674">
        <f>+'3 - Revenue Credits'!D23</f>
        <v>46874030.069999985</v>
      </c>
      <c r="I281" s="666"/>
      <c r="J281" s="666"/>
      <c r="K281" s="666"/>
      <c r="L281" s="666"/>
      <c r="M281" s="666"/>
      <c r="N281" s="666"/>
      <c r="O281" s="666"/>
    </row>
    <row r="282" spans="1:15">
      <c r="A282" s="1362">
        <v>154</v>
      </c>
      <c r="B282" s="14"/>
      <c r="C282" s="1371" t="s">
        <v>435</v>
      </c>
      <c r="D282" s="14"/>
      <c r="E282" s="1367" t="str">
        <f>"(Note "&amp;B$333&amp;")"</f>
        <v>(Note N)</v>
      </c>
      <c r="F282" s="14" t="s">
        <v>436</v>
      </c>
      <c r="G282" s="5"/>
      <c r="H282" s="674">
        <f>+'5 - Cost Support'!G207</f>
        <v>0</v>
      </c>
      <c r="I282" s="666"/>
      <c r="J282" s="666"/>
      <c r="K282" s="666"/>
      <c r="L282" s="666"/>
      <c r="M282" s="666"/>
      <c r="N282" s="666"/>
      <c r="O282" s="666"/>
    </row>
    <row r="283" spans="1:15" ht="16" thickBot="1">
      <c r="A283" s="1362"/>
      <c r="B283" s="1362"/>
      <c r="C283" s="14"/>
      <c r="D283" s="14"/>
      <c r="E283" s="1362"/>
      <c r="G283" s="5"/>
      <c r="H283" s="8"/>
      <c r="I283" s="666"/>
      <c r="J283" s="666"/>
      <c r="K283" s="666"/>
      <c r="L283" s="666"/>
      <c r="M283" s="666"/>
      <c r="N283" s="666"/>
      <c r="O283" s="666"/>
    </row>
    <row r="284" spans="1:15" s="92" customFormat="1" ht="18.5" thickBot="1">
      <c r="A284" s="1384">
        <v>155</v>
      </c>
      <c r="B284" s="66"/>
      <c r="C284" s="1391" t="s">
        <v>320</v>
      </c>
      <c r="D284" s="1386"/>
      <c r="E284" s="82"/>
      <c r="F284" s="64" t="s">
        <v>629</v>
      </c>
      <c r="G284" s="63"/>
      <c r="H284" s="64">
        <f>+H278-H281+H282</f>
        <v>274898061.08377463</v>
      </c>
      <c r="I284" s="666"/>
      <c r="J284" s="666"/>
      <c r="K284" s="666"/>
      <c r="L284" s="666"/>
      <c r="M284" s="666"/>
      <c r="N284" s="666"/>
      <c r="O284" s="666"/>
    </row>
    <row r="285" spans="1:15">
      <c r="A285" s="644"/>
      <c r="B285" s="1362"/>
      <c r="C285" s="14"/>
      <c r="D285" s="14"/>
      <c r="E285" s="1362"/>
      <c r="G285" s="5"/>
      <c r="H285" s="604"/>
      <c r="I285" s="666"/>
      <c r="J285" s="666"/>
      <c r="K285" s="666"/>
      <c r="L285" s="666"/>
      <c r="M285" s="666"/>
      <c r="N285" s="666"/>
      <c r="O285" s="666"/>
    </row>
    <row r="286" spans="1:15">
      <c r="A286" s="1362"/>
      <c r="B286" s="1" t="s">
        <v>25</v>
      </c>
      <c r="C286" s="14"/>
      <c r="D286" s="14"/>
      <c r="E286" s="1367"/>
      <c r="G286" s="5"/>
      <c r="H286" s="8"/>
    </row>
    <row r="287" spans="1:15">
      <c r="A287" s="1362">
        <v>156</v>
      </c>
      <c r="B287" s="1362"/>
      <c r="C287" s="14" t="str">
        <f>+C284</f>
        <v>Net Revenue Requirement</v>
      </c>
      <c r="D287" s="14"/>
      <c r="E287" s="1362"/>
      <c r="F287" s="14" t="s">
        <v>630</v>
      </c>
      <c r="G287" s="5"/>
      <c r="H287" s="104">
        <f>+H284</f>
        <v>274898061.08377463</v>
      </c>
      <c r="K287" s="607"/>
    </row>
    <row r="288" spans="1:15">
      <c r="A288" s="1362">
        <v>157</v>
      </c>
      <c r="B288" s="1362"/>
      <c r="C288" s="14" t="s">
        <v>646</v>
      </c>
      <c r="D288" s="14"/>
      <c r="E288" s="1362"/>
      <c r="F288" s="14" t="s">
        <v>647</v>
      </c>
      <c r="G288" s="16"/>
      <c r="H288" s="129">
        <f>+H44-H61+H96</f>
        <v>1838389670.4684625</v>
      </c>
      <c r="K288" s="607"/>
    </row>
    <row r="289" spans="1:8">
      <c r="A289" s="1362">
        <v>158</v>
      </c>
      <c r="B289" s="1362"/>
      <c r="C289" s="14" t="s">
        <v>20</v>
      </c>
      <c r="D289" s="14"/>
      <c r="E289" s="1362"/>
      <c r="F289" s="14" t="s">
        <v>631</v>
      </c>
      <c r="G289" s="5"/>
      <c r="H289" s="8">
        <f>+H287/H288</f>
        <v>0.14953198742338697</v>
      </c>
    </row>
    <row r="290" spans="1:8">
      <c r="A290" s="1362">
        <v>159</v>
      </c>
      <c r="B290" s="1362"/>
      <c r="C290" s="14" t="s">
        <v>21</v>
      </c>
      <c r="D290" s="14"/>
      <c r="E290" s="1362"/>
      <c r="F290" s="14" t="s">
        <v>632</v>
      </c>
      <c r="G290" s="5"/>
      <c r="H290" s="8">
        <f>(H287-H162)/H288</f>
        <v>0.112549269769912</v>
      </c>
    </row>
    <row r="291" spans="1:8">
      <c r="A291" s="1362">
        <v>160</v>
      </c>
      <c r="B291" s="1362"/>
      <c r="C291" s="14" t="s">
        <v>22</v>
      </c>
      <c r="D291" s="14"/>
      <c r="E291" s="1362"/>
      <c r="F291" s="14" t="s">
        <v>633</v>
      </c>
      <c r="G291" s="5"/>
      <c r="H291" s="8">
        <f>(H287-H162-H226-H255)/H288</f>
        <v>3.525790885980342E-2</v>
      </c>
    </row>
    <row r="292" spans="1:8">
      <c r="A292" s="1362"/>
      <c r="B292" s="1362"/>
      <c r="C292" s="14"/>
      <c r="D292" s="14"/>
      <c r="E292" s="1362"/>
      <c r="G292" s="5"/>
      <c r="H292" s="8"/>
    </row>
    <row r="293" spans="1:8">
      <c r="A293" s="1362"/>
      <c r="B293" s="1362"/>
      <c r="C293" s="14"/>
      <c r="D293" s="14"/>
      <c r="E293" s="1362"/>
      <c r="G293" s="5"/>
      <c r="H293" s="8"/>
    </row>
    <row r="294" spans="1:8">
      <c r="A294" s="1362"/>
      <c r="B294" s="1" t="s">
        <v>26</v>
      </c>
      <c r="C294" s="14"/>
      <c r="D294" s="14"/>
      <c r="E294" s="1367"/>
      <c r="G294" s="5"/>
      <c r="H294" s="8"/>
    </row>
    <row r="295" spans="1:8">
      <c r="A295" s="1362">
        <v>161</v>
      </c>
      <c r="B295" s="1362"/>
      <c r="C295" s="14" t="s">
        <v>498</v>
      </c>
      <c r="D295" s="14"/>
      <c r="E295" s="1362"/>
      <c r="F295" s="14" t="s">
        <v>634</v>
      </c>
      <c r="G295" s="5"/>
      <c r="H295" s="104">
        <f>+H284-H267-H268</f>
        <v>132806421.57018112</v>
      </c>
    </row>
    <row r="296" spans="1:8">
      <c r="A296" s="1362">
        <v>162</v>
      </c>
      <c r="B296" s="1362"/>
      <c r="C296" s="14" t="s">
        <v>30</v>
      </c>
      <c r="D296" s="14"/>
      <c r="E296" s="1362"/>
      <c r="F296" s="14" t="s">
        <v>57</v>
      </c>
      <c r="G296" s="5"/>
      <c r="H296" s="104">
        <f>+'4 - 100 Basis Pt ROE'!I9</f>
        <v>154074752.00561881</v>
      </c>
    </row>
    <row r="297" spans="1:8">
      <c r="A297" s="1362">
        <v>163</v>
      </c>
      <c r="B297" s="1362"/>
      <c r="C297" s="14" t="s">
        <v>29</v>
      </c>
      <c r="D297" s="14"/>
      <c r="E297" s="1362"/>
      <c r="F297" s="14" t="s">
        <v>635</v>
      </c>
      <c r="G297" s="5"/>
      <c r="H297" s="104">
        <f>+H296+H295</f>
        <v>286881173.57579994</v>
      </c>
    </row>
    <row r="298" spans="1:8">
      <c r="A298" s="1362">
        <v>164</v>
      </c>
      <c r="B298" s="1362"/>
      <c r="C298" s="14" t="str">
        <f>+C288</f>
        <v>Net Transmission Plant and Abandoned Plant</v>
      </c>
      <c r="D298" s="14"/>
      <c r="E298" s="1362"/>
      <c r="F298" s="14" t="str">
        <f>+F288</f>
        <v>(Line 19 - 30 + 44a)</v>
      </c>
      <c r="G298" s="16"/>
      <c r="H298" s="129">
        <f>+H288</f>
        <v>1838389670.4684625</v>
      </c>
    </row>
    <row r="299" spans="1:8">
      <c r="A299" s="1362">
        <v>165</v>
      </c>
      <c r="B299" s="1362"/>
      <c r="C299" s="14" t="s">
        <v>28</v>
      </c>
      <c r="D299" s="14"/>
      <c r="E299" s="1362"/>
      <c r="F299" s="14" t="s">
        <v>636</v>
      </c>
      <c r="G299" s="5"/>
      <c r="H299" s="8">
        <f>+H297/H298</f>
        <v>0.15605025321029803</v>
      </c>
    </row>
    <row r="300" spans="1:8">
      <c r="A300" s="1362">
        <v>166</v>
      </c>
      <c r="B300" s="1362"/>
      <c r="C300" s="14" t="s">
        <v>27</v>
      </c>
      <c r="D300" s="14"/>
      <c r="E300" s="1362"/>
      <c r="F300" s="14" t="s">
        <v>637</v>
      </c>
      <c r="G300" s="5"/>
      <c r="H300" s="8">
        <f>(H297-H162)/H298</f>
        <v>0.11906753555682309</v>
      </c>
    </row>
    <row r="301" spans="1:8">
      <c r="A301" s="1362"/>
      <c r="B301" s="1362"/>
      <c r="C301" s="14"/>
      <c r="D301" s="14"/>
      <c r="E301" s="1362"/>
      <c r="G301" s="5"/>
      <c r="H301" s="8"/>
    </row>
    <row r="302" spans="1:8">
      <c r="A302" s="1362">
        <v>167</v>
      </c>
      <c r="B302" s="1362"/>
      <c r="C302" s="1" t="s">
        <v>320</v>
      </c>
      <c r="D302" s="14"/>
      <c r="E302" s="1362"/>
      <c r="F302" s="14" t="s">
        <v>630</v>
      </c>
      <c r="G302" s="5"/>
      <c r="H302" s="104">
        <f>+H284</f>
        <v>274898061.08377463</v>
      </c>
    </row>
    <row r="303" spans="1:8">
      <c r="A303" s="1362">
        <v>168</v>
      </c>
      <c r="B303" s="1362"/>
      <c r="C303" s="14" t="s">
        <v>567</v>
      </c>
      <c r="D303" s="14"/>
      <c r="E303" s="388"/>
      <c r="F303" s="28" t="s">
        <v>52</v>
      </c>
      <c r="G303" s="5"/>
      <c r="H303" s="445">
        <f>+'5 - Cost Support'!I224</f>
        <v>-4824511.7915152749</v>
      </c>
    </row>
    <row r="304" spans="1:8">
      <c r="A304" s="1362">
        <v>169</v>
      </c>
      <c r="B304" s="1362"/>
      <c r="C304" s="14" t="s">
        <v>214</v>
      </c>
      <c r="D304" s="14"/>
      <c r="E304" s="1367"/>
      <c r="F304" s="28" t="s">
        <v>215</v>
      </c>
      <c r="G304" s="5"/>
      <c r="H304" s="445">
        <f>+'7 - Cap Add WS'!FB72</f>
        <v>717787.60265693069</v>
      </c>
    </row>
    <row r="305" spans="1:246">
      <c r="A305" s="1362">
        <v>170</v>
      </c>
      <c r="B305" s="1362"/>
      <c r="C305" s="14" t="s">
        <v>81</v>
      </c>
      <c r="D305" s="1392"/>
      <c r="E305" s="1367"/>
      <c r="F305" s="14" t="s">
        <v>82</v>
      </c>
      <c r="G305" s="16"/>
      <c r="H305" s="445">
        <f>+'5 - Cost Support'!G218</f>
        <v>0</v>
      </c>
      <c r="IL305" s="17">
        <f>SUM(A305:IK305)</f>
        <v>170</v>
      </c>
    </row>
    <row r="306" spans="1:246">
      <c r="A306" s="1362">
        <v>171</v>
      </c>
      <c r="B306" s="1362"/>
      <c r="C306" s="1" t="s">
        <v>439</v>
      </c>
      <c r="D306" s="14"/>
      <c r="E306" s="1362"/>
      <c r="F306" s="14" t="s">
        <v>638</v>
      </c>
      <c r="G306" s="5"/>
      <c r="H306" s="104">
        <f>+H302+H303+H304+H305</f>
        <v>270791336.8949163</v>
      </c>
    </row>
    <row r="307" spans="1:246">
      <c r="A307" s="1362"/>
      <c r="B307" s="1362"/>
      <c r="C307" s="14"/>
      <c r="D307" s="14"/>
      <c r="E307" s="1362"/>
      <c r="G307" s="5"/>
      <c r="H307" s="104"/>
    </row>
    <row r="308" spans="1:246">
      <c r="A308" s="1362"/>
      <c r="B308" s="1371" t="s">
        <v>438</v>
      </c>
      <c r="C308" s="14"/>
      <c r="D308" s="14"/>
      <c r="E308" s="1362"/>
      <c r="G308" s="5"/>
      <c r="H308" s="104"/>
      <c r="K308" s="780"/>
    </row>
    <row r="309" spans="1:246">
      <c r="A309" s="1362">
        <v>172</v>
      </c>
      <c r="B309" s="1362"/>
      <c r="C309" s="14" t="s">
        <v>257</v>
      </c>
      <c r="D309" s="14"/>
      <c r="E309" s="1367" t="str">
        <f>"(Note "&amp;B$331&amp;")"</f>
        <v>(Note L)</v>
      </c>
      <c r="F309" s="1" t="s">
        <v>436</v>
      </c>
      <c r="G309" s="44"/>
      <c r="H309" s="904"/>
      <c r="I309" s="608"/>
      <c r="J309" s="608"/>
    </row>
    <row r="310" spans="1:246">
      <c r="A310" s="1362">
        <v>173</v>
      </c>
      <c r="B310" s="1362"/>
      <c r="C310" s="14" t="s">
        <v>256</v>
      </c>
      <c r="D310" s="1393"/>
      <c r="E310" s="1367" t="str">
        <f>"(Note "&amp;B$339&amp;")"</f>
        <v>(Note Q)</v>
      </c>
      <c r="F310" s="37" t="s">
        <v>639</v>
      </c>
      <c r="G310" s="840"/>
      <c r="H310" s="841"/>
    </row>
    <row r="311" spans="1:246" ht="16" thickBot="1">
      <c r="A311" s="1362"/>
      <c r="B311" s="1362"/>
      <c r="C311" s="14"/>
      <c r="D311" s="14"/>
      <c r="E311" s="1394"/>
      <c r="F311" s="1395"/>
      <c r="G311" s="840"/>
      <c r="H311" s="843"/>
    </row>
    <row r="312" spans="1:246" s="44" customFormat="1" ht="18.5" thickBot="1">
      <c r="A312" s="1384">
        <v>174</v>
      </c>
      <c r="B312" s="82"/>
      <c r="C312" s="1391" t="s">
        <v>337</v>
      </c>
      <c r="D312" s="82"/>
      <c r="E312" s="82"/>
      <c r="F312" s="82" t="s">
        <v>640</v>
      </c>
      <c r="G312" s="68"/>
      <c r="H312" s="93"/>
    </row>
    <row r="313" spans="1:246" s="44" customFormat="1">
      <c r="A313" s="644"/>
      <c r="B313" s="1362"/>
      <c r="C313" s="14"/>
      <c r="D313" s="14"/>
      <c r="E313" s="1394"/>
      <c r="F313" s="1395"/>
      <c r="G313" s="840"/>
      <c r="H313" s="843"/>
    </row>
    <row r="314" spans="1:246" s="44" customFormat="1" ht="18">
      <c r="A314" s="1360"/>
      <c r="B314" s="1371" t="s">
        <v>309</v>
      </c>
      <c r="C314" s="14"/>
      <c r="D314" s="14"/>
      <c r="E314" s="1394"/>
      <c r="F314" s="1395"/>
      <c r="G314" s="840"/>
      <c r="H314" s="1464"/>
    </row>
    <row r="315" spans="1:246" s="44" customFormat="1" ht="18">
      <c r="A315" s="1360"/>
      <c r="B315" s="1362" t="s">
        <v>156</v>
      </c>
      <c r="C315" s="14" t="s">
        <v>324</v>
      </c>
      <c r="D315" s="14"/>
      <c r="E315" s="1394"/>
      <c r="F315" s="1395"/>
      <c r="G315" s="840"/>
      <c r="H315" s="1463"/>
    </row>
    <row r="316" spans="1:246" s="44" customFormat="1" ht="18" customHeight="1">
      <c r="A316" s="1360"/>
      <c r="B316" s="1362" t="s">
        <v>293</v>
      </c>
      <c r="C316" s="1513" t="s">
        <v>1460</v>
      </c>
      <c r="D316" s="1513"/>
      <c r="E316" s="1513"/>
      <c r="F316" s="1513"/>
      <c r="G316" s="840"/>
      <c r="H316" s="844"/>
    </row>
    <row r="317" spans="1:246" s="44" customFormat="1" ht="18">
      <c r="A317" s="1360"/>
      <c r="B317" s="1362"/>
      <c r="C317" s="1513"/>
      <c r="D317" s="1513"/>
      <c r="E317" s="1513"/>
      <c r="F317" s="1513"/>
      <c r="G317" s="840"/>
      <c r="H317" s="844"/>
    </row>
    <row r="318" spans="1:246" s="44" customFormat="1" ht="18">
      <c r="A318" s="1360"/>
      <c r="B318" s="1362"/>
      <c r="C318" s="1513"/>
      <c r="D318" s="1513"/>
      <c r="E318" s="1513"/>
      <c r="F318" s="1513"/>
      <c r="G318" s="840"/>
      <c r="H318" s="843"/>
    </row>
    <row r="319" spans="1:246" s="44" customFormat="1" ht="18">
      <c r="A319" s="1360"/>
      <c r="B319" s="1362" t="s">
        <v>133</v>
      </c>
      <c r="C319" s="28" t="s">
        <v>325</v>
      </c>
      <c r="D319" s="14"/>
      <c r="E319" s="1394"/>
      <c r="F319" s="1395"/>
      <c r="G319" s="840"/>
      <c r="H319" s="759"/>
      <c r="K319" s="887"/>
    </row>
    <row r="320" spans="1:246" s="44" customFormat="1" ht="18">
      <c r="A320" s="1360"/>
      <c r="B320" s="1362" t="s">
        <v>157</v>
      </c>
      <c r="C320" s="14" t="s">
        <v>61</v>
      </c>
      <c r="D320" s="14"/>
      <c r="E320" s="1394"/>
      <c r="F320" s="1395"/>
      <c r="G320" s="840"/>
      <c r="H320" s="759"/>
      <c r="K320" s="887"/>
    </row>
    <row r="321" spans="1:11" s="44" customFormat="1" ht="18">
      <c r="A321" s="1360"/>
      <c r="B321" s="1362" t="s">
        <v>155</v>
      </c>
      <c r="C321" s="14" t="s">
        <v>189</v>
      </c>
      <c r="D321" s="14"/>
      <c r="E321" s="1394"/>
      <c r="F321" s="1395"/>
      <c r="G321" s="840"/>
      <c r="H321" s="759"/>
      <c r="K321" s="887"/>
    </row>
    <row r="322" spans="1:11" s="44" customFormat="1" ht="18">
      <c r="A322" s="1360"/>
      <c r="B322" s="1362" t="s">
        <v>487</v>
      </c>
      <c r="C322" s="14" t="s">
        <v>357</v>
      </c>
      <c r="D322" s="14"/>
      <c r="E322" s="1394"/>
      <c r="F322" s="1395"/>
      <c r="G322" s="840"/>
      <c r="H322" s="759"/>
      <c r="K322" s="887"/>
    </row>
    <row r="323" spans="1:11" s="44" customFormat="1" ht="18">
      <c r="A323" s="1360"/>
      <c r="B323" s="1362" t="s">
        <v>158</v>
      </c>
      <c r="C323" s="14" t="s">
        <v>60</v>
      </c>
      <c r="D323" s="14"/>
      <c r="E323" s="1394"/>
      <c r="F323" s="1395"/>
      <c r="G323" s="840"/>
      <c r="H323" s="759"/>
      <c r="K323" s="887"/>
    </row>
    <row r="324" spans="1:11" s="44" customFormat="1" ht="18" customHeight="1">
      <c r="A324" s="1360"/>
      <c r="B324" s="1370" t="s">
        <v>141</v>
      </c>
      <c r="C324" s="1513" t="s">
        <v>954</v>
      </c>
      <c r="D324" s="1513"/>
      <c r="E324" s="1513"/>
      <c r="F324" s="1513"/>
      <c r="G324" s="840"/>
      <c r="H324" s="843"/>
      <c r="I324" s="885"/>
      <c r="J324" s="885"/>
    </row>
    <row r="325" spans="1:11" s="44" customFormat="1" ht="18">
      <c r="A325" s="1360"/>
      <c r="B325" s="1370"/>
      <c r="C325" s="1513"/>
      <c r="D325" s="1513"/>
      <c r="E325" s="1513"/>
      <c r="F325" s="1513"/>
      <c r="G325" s="840"/>
      <c r="H325" s="843"/>
      <c r="I325" s="885"/>
      <c r="J325" s="885"/>
    </row>
    <row r="326" spans="1:11" s="44" customFormat="1" ht="18" customHeight="1">
      <c r="A326" s="1360"/>
      <c r="B326" s="1362" t="s">
        <v>143</v>
      </c>
      <c r="C326" s="1513" t="s">
        <v>1461</v>
      </c>
      <c r="D326" s="1513"/>
      <c r="E326" s="1513"/>
      <c r="F326" s="1513"/>
      <c r="G326" s="840"/>
      <c r="H326" s="843"/>
    </row>
    <row r="327" spans="1:11" s="44" customFormat="1" ht="18">
      <c r="A327" s="1360"/>
      <c r="B327" s="1362"/>
      <c r="C327" s="1513"/>
      <c r="D327" s="1513"/>
      <c r="E327" s="1513"/>
      <c r="F327" s="1513"/>
      <c r="G327" s="840"/>
      <c r="H327" s="843"/>
    </row>
    <row r="328" spans="1:11" s="44" customFormat="1" ht="18">
      <c r="A328" s="1360"/>
      <c r="B328" s="1362"/>
      <c r="C328" s="1513"/>
      <c r="D328" s="1513"/>
      <c r="E328" s="1513"/>
      <c r="F328" s="1513"/>
      <c r="G328" s="840"/>
      <c r="H328" s="843"/>
    </row>
    <row r="329" spans="1:11" s="44" customFormat="1" ht="18">
      <c r="A329" s="1360"/>
      <c r="B329" s="1362"/>
      <c r="C329" s="1513"/>
      <c r="D329" s="1513"/>
      <c r="E329" s="1513"/>
      <c r="F329" s="1513"/>
      <c r="G329" s="840"/>
      <c r="H329" s="843"/>
    </row>
    <row r="330" spans="1:11" s="44" customFormat="1" ht="18">
      <c r="A330" s="1360"/>
      <c r="B330" s="1362" t="s">
        <v>160</v>
      </c>
      <c r="C330" s="14" t="s">
        <v>358</v>
      </c>
      <c r="D330" s="14"/>
      <c r="E330" s="1394"/>
      <c r="F330" s="1395"/>
      <c r="G330" s="840"/>
      <c r="H330" s="843"/>
    </row>
    <row r="331" spans="1:11" s="44" customFormat="1" ht="18">
      <c r="A331" s="1360"/>
      <c r="B331" s="1362" t="s">
        <v>262</v>
      </c>
      <c r="C331" s="14" t="s">
        <v>213</v>
      </c>
      <c r="D331" s="14"/>
      <c r="E331" s="1394"/>
      <c r="F331" s="1395"/>
      <c r="G331" s="840"/>
      <c r="H331" s="843"/>
    </row>
    <row r="332" spans="1:11">
      <c r="A332" s="1362"/>
      <c r="B332" s="1362" t="s">
        <v>263</v>
      </c>
      <c r="C332" s="14" t="s">
        <v>568</v>
      </c>
      <c r="D332" s="14"/>
      <c r="E332" s="1394"/>
      <c r="F332" s="1395"/>
      <c r="G332" s="840"/>
      <c r="H332" s="843"/>
    </row>
    <row r="333" spans="1:11" ht="15.75" customHeight="1">
      <c r="A333" s="1362"/>
      <c r="B333" s="1362" t="s">
        <v>488</v>
      </c>
      <c r="C333" s="1514" t="s">
        <v>1462</v>
      </c>
      <c r="D333" s="1514"/>
      <c r="E333" s="1514"/>
      <c r="F333" s="1514"/>
      <c r="G333" s="840"/>
      <c r="H333" s="843"/>
    </row>
    <row r="334" spans="1:11">
      <c r="A334" s="1362"/>
      <c r="B334" s="1362"/>
      <c r="C334" s="1514"/>
      <c r="D334" s="1514"/>
      <c r="E334" s="1514"/>
      <c r="F334" s="1514"/>
      <c r="G334" s="840"/>
      <c r="H334" s="843"/>
    </row>
    <row r="335" spans="1:11">
      <c r="A335" s="1362"/>
      <c r="B335" s="1362"/>
      <c r="C335" s="1514"/>
      <c r="D335" s="1514"/>
      <c r="E335" s="1514"/>
      <c r="F335" s="1514"/>
      <c r="G335" s="840"/>
      <c r="H335" s="843"/>
    </row>
    <row r="336" spans="1:11" ht="15.75" customHeight="1">
      <c r="A336" s="1362"/>
      <c r="B336" s="1362" t="s">
        <v>550</v>
      </c>
      <c r="C336" s="1514" t="s">
        <v>1463</v>
      </c>
      <c r="D336" s="1514"/>
      <c r="E336" s="1514"/>
      <c r="F336" s="1514"/>
      <c r="G336" s="840"/>
      <c r="H336" s="843"/>
    </row>
    <row r="337" spans="1:10">
      <c r="A337" s="1362"/>
      <c r="B337" s="1362"/>
      <c r="C337" s="1514"/>
      <c r="D337" s="1514"/>
      <c r="E337" s="1514"/>
      <c r="F337" s="1514"/>
      <c r="G337" s="840"/>
      <c r="H337" s="843"/>
    </row>
    <row r="338" spans="1:10" s="44" customFormat="1" ht="18">
      <c r="A338" s="1396"/>
      <c r="B338" s="1362" t="s">
        <v>194</v>
      </c>
      <c r="C338" s="28" t="s">
        <v>212</v>
      </c>
      <c r="D338" s="1387"/>
      <c r="E338" s="1387"/>
      <c r="F338" s="1387"/>
      <c r="G338" s="67"/>
      <c r="H338" s="67"/>
    </row>
    <row r="339" spans="1:10" ht="15.75" customHeight="1">
      <c r="A339" s="1362"/>
      <c r="B339" s="1362" t="s">
        <v>0</v>
      </c>
      <c r="C339" s="1513" t="s">
        <v>1464</v>
      </c>
      <c r="D339" s="1513"/>
      <c r="E339" s="1513"/>
      <c r="F339" s="1513"/>
      <c r="G339" s="840"/>
      <c r="H339" s="843"/>
    </row>
    <row r="340" spans="1:10">
      <c r="A340" s="1362"/>
      <c r="B340" s="1362"/>
      <c r="C340" s="1513"/>
      <c r="D340" s="1513"/>
      <c r="E340" s="1513"/>
      <c r="F340" s="1513"/>
      <c r="G340" s="840"/>
      <c r="H340" s="843"/>
    </row>
    <row r="341" spans="1:10">
      <c r="A341" s="1362"/>
      <c r="B341" s="1371"/>
      <c r="C341" s="1513"/>
      <c r="D341" s="1513"/>
      <c r="E341" s="1513"/>
      <c r="F341" s="1513"/>
      <c r="G341" s="840"/>
      <c r="H341" s="843"/>
    </row>
    <row r="342" spans="1:10">
      <c r="A342" s="1362"/>
      <c r="B342" s="1371"/>
      <c r="C342" s="1513"/>
      <c r="D342" s="1513"/>
      <c r="E342" s="1513"/>
      <c r="F342" s="1513"/>
      <c r="G342" s="840"/>
      <c r="H342" s="843"/>
    </row>
    <row r="343" spans="1:10" ht="15.75" customHeight="1">
      <c r="A343" s="1362"/>
      <c r="B343" s="1362" t="s">
        <v>648</v>
      </c>
      <c r="C343" s="1513" t="s">
        <v>1465</v>
      </c>
      <c r="D343" s="1513"/>
      <c r="E343" s="1513"/>
      <c r="F343" s="1513"/>
      <c r="G343" s="842"/>
      <c r="H343" s="844"/>
    </row>
    <row r="344" spans="1:10">
      <c r="A344" s="1362"/>
      <c r="B344" s="1362"/>
      <c r="C344" s="1513"/>
      <c r="D344" s="1513"/>
      <c r="E344" s="1513"/>
      <c r="F344" s="1513"/>
      <c r="G344" s="842"/>
      <c r="H344" s="844"/>
    </row>
    <row r="345" spans="1:10">
      <c r="A345" s="1362"/>
      <c r="B345" s="1362"/>
      <c r="C345" s="1513"/>
      <c r="D345" s="1513"/>
      <c r="E345" s="1513"/>
      <c r="F345" s="1513"/>
      <c r="G345" s="842"/>
      <c r="H345" s="844"/>
    </row>
    <row r="346" spans="1:10">
      <c r="A346" s="1362"/>
      <c r="B346" s="1362"/>
      <c r="C346" s="1513"/>
      <c r="D346" s="1513"/>
      <c r="E346" s="1513"/>
      <c r="F346" s="1513"/>
      <c r="G346" s="842"/>
      <c r="H346" s="844"/>
    </row>
    <row r="347" spans="1:10">
      <c r="A347" s="1362"/>
      <c r="B347" s="1362"/>
      <c r="C347" s="1513"/>
      <c r="D347" s="1513"/>
      <c r="E347" s="1513"/>
      <c r="F347" s="1513"/>
      <c r="G347" s="842"/>
      <c r="H347" s="844"/>
    </row>
    <row r="348" spans="1:10">
      <c r="A348" s="1362"/>
      <c r="B348" s="1362" t="s">
        <v>755</v>
      </c>
      <c r="C348" s="14" t="s">
        <v>756</v>
      </c>
      <c r="D348" s="14"/>
      <c r="E348" s="1394"/>
      <c r="F348" s="1395"/>
      <c r="G348" s="842"/>
      <c r="H348" s="844"/>
    </row>
    <row r="349" spans="1:10" ht="15.75" customHeight="1">
      <c r="A349" s="1362"/>
      <c r="B349" s="39" t="s">
        <v>319</v>
      </c>
      <c r="C349" s="1512" t="s">
        <v>1471</v>
      </c>
      <c r="D349" s="1512"/>
      <c r="E349" s="1512"/>
      <c r="F349" s="1512"/>
      <c r="G349" s="842"/>
      <c r="H349" s="844"/>
    </row>
    <row r="350" spans="1:10">
      <c r="A350" s="1362"/>
      <c r="B350" s="39"/>
      <c r="C350" s="1512"/>
      <c r="D350" s="1512"/>
      <c r="E350" s="1512"/>
      <c r="F350" s="1512"/>
      <c r="G350" s="842"/>
      <c r="H350" s="844"/>
    </row>
    <row r="351" spans="1:10">
      <c r="A351" s="1362"/>
      <c r="B351" s="39" t="s">
        <v>925</v>
      </c>
      <c r="C351" s="17" t="s">
        <v>950</v>
      </c>
      <c r="D351" s="17"/>
      <c r="E351" s="1408"/>
      <c r="F351" s="1409"/>
      <c r="G351" s="842"/>
      <c r="H351" s="844"/>
    </row>
    <row r="352" spans="1:10" ht="15" customHeight="1">
      <c r="A352" s="1362"/>
      <c r="B352" s="1410" t="s">
        <v>926</v>
      </c>
      <c r="C352" s="1512" t="s">
        <v>1467</v>
      </c>
      <c r="D352" s="1512"/>
      <c r="E352" s="1512"/>
      <c r="F352" s="1512"/>
      <c r="G352" s="1340"/>
      <c r="H352" s="1340"/>
      <c r="I352" s="1340"/>
      <c r="J352" s="1340"/>
    </row>
    <row r="353" spans="1:10" ht="15" customHeight="1">
      <c r="A353" s="1362"/>
      <c r="B353" s="1410" t="s">
        <v>927</v>
      </c>
      <c r="C353" s="1512" t="s">
        <v>1468</v>
      </c>
      <c r="D353" s="1512"/>
      <c r="E353" s="1512"/>
      <c r="F353" s="1512"/>
      <c r="G353" s="1340"/>
      <c r="H353" s="1340"/>
      <c r="I353" s="1340"/>
      <c r="J353" s="1340"/>
    </row>
    <row r="354" spans="1:10">
      <c r="A354" s="1362"/>
      <c r="B354" s="1410"/>
      <c r="C354" s="1512"/>
      <c r="D354" s="1512"/>
      <c r="E354" s="1512"/>
      <c r="F354" s="1512"/>
      <c r="G354" s="1340"/>
      <c r="H354" s="1340"/>
      <c r="I354" s="1340"/>
      <c r="J354" s="1340"/>
    </row>
    <row r="355" spans="1:10">
      <c r="A355" s="1362"/>
      <c r="B355" s="1410"/>
      <c r="C355" s="1512"/>
      <c r="D355" s="1512"/>
      <c r="E355" s="1512"/>
      <c r="F355" s="1512"/>
      <c r="G355" s="1340"/>
      <c r="H355" s="1340"/>
      <c r="I355" s="1340"/>
      <c r="J355" s="1340"/>
    </row>
    <row r="356" spans="1:10">
      <c r="A356" s="1362"/>
      <c r="B356" s="1410"/>
      <c r="C356" s="1512"/>
      <c r="D356" s="1512"/>
      <c r="E356" s="1512"/>
      <c r="F356" s="1512"/>
      <c r="G356" s="1340"/>
      <c r="H356" s="1340"/>
      <c r="I356" s="1340"/>
      <c r="J356" s="1340"/>
    </row>
    <row r="357" spans="1:10">
      <c r="A357" s="1362"/>
      <c r="B357" s="1410"/>
      <c r="C357" s="1512"/>
      <c r="D357" s="1512"/>
      <c r="E357" s="1512"/>
      <c r="F357" s="1512"/>
      <c r="G357" s="1340"/>
      <c r="H357" s="1340"/>
      <c r="I357" s="1340"/>
      <c r="J357" s="1340"/>
    </row>
    <row r="358" spans="1:10">
      <c r="A358" s="1362"/>
      <c r="B358" s="1410"/>
      <c r="C358" s="1512"/>
      <c r="D358" s="1512"/>
      <c r="E358" s="1512"/>
      <c r="F358" s="1512"/>
      <c r="G358" s="1340"/>
      <c r="H358" s="1340"/>
      <c r="I358" s="1340"/>
      <c r="J358" s="1340"/>
    </row>
    <row r="359" spans="1:10">
      <c r="A359" s="1362"/>
      <c r="B359" s="1410"/>
      <c r="C359" s="1512"/>
      <c r="D359" s="1512"/>
      <c r="E359" s="1512"/>
      <c r="F359" s="1512"/>
      <c r="G359" s="1340"/>
      <c r="H359" s="1340"/>
      <c r="I359" s="1340"/>
      <c r="J359" s="1340"/>
    </row>
    <row r="360" spans="1:10">
      <c r="A360" s="1362"/>
      <c r="B360" s="1410"/>
      <c r="C360" s="1512"/>
      <c r="D360" s="1512"/>
      <c r="E360" s="1512"/>
      <c r="F360" s="1512"/>
      <c r="G360" s="1340"/>
      <c r="H360" s="1340"/>
      <c r="I360" s="1340"/>
      <c r="J360" s="1340"/>
    </row>
    <row r="361" spans="1:10">
      <c r="A361" s="1362"/>
      <c r="B361" s="1410"/>
      <c r="C361" s="1512"/>
      <c r="D361" s="1512"/>
      <c r="E361" s="1512"/>
      <c r="F361" s="1512"/>
      <c r="G361" s="1340"/>
      <c r="H361" s="1340"/>
      <c r="I361" s="1340"/>
      <c r="J361" s="1340"/>
    </row>
    <row r="362" spans="1:10" ht="15" customHeight="1">
      <c r="A362" s="1362"/>
      <c r="B362" s="1410" t="s">
        <v>451</v>
      </c>
      <c r="C362" s="1512" t="s">
        <v>1423</v>
      </c>
      <c r="D362" s="1512"/>
      <c r="E362" s="1512"/>
      <c r="F362" s="1512"/>
      <c r="G362" s="1340"/>
      <c r="H362" s="1340"/>
      <c r="I362" s="1340"/>
      <c r="J362" s="1340"/>
    </row>
    <row r="363" spans="1:10">
      <c r="A363" s="1362"/>
      <c r="B363" s="1410"/>
      <c r="C363" s="1512"/>
      <c r="D363" s="1512"/>
      <c r="E363" s="1512"/>
      <c r="F363" s="1512"/>
      <c r="G363" s="1340"/>
      <c r="H363" s="1340"/>
      <c r="I363" s="1340"/>
      <c r="J363" s="1340"/>
    </row>
    <row r="364" spans="1:10">
      <c r="A364" s="1362"/>
      <c r="B364" s="1410"/>
      <c r="C364" s="1512"/>
      <c r="D364" s="1512"/>
      <c r="E364" s="1512"/>
      <c r="F364" s="1512"/>
      <c r="G364" s="1340"/>
      <c r="H364" s="1340"/>
      <c r="I364" s="1340"/>
      <c r="J364" s="1340"/>
    </row>
    <row r="365" spans="1:10">
      <c r="A365" s="1362"/>
      <c r="B365" s="1410"/>
      <c r="C365" s="1512"/>
      <c r="D365" s="1512"/>
      <c r="E365" s="1512"/>
      <c r="F365" s="1512"/>
      <c r="G365" s="1340"/>
      <c r="H365" s="1340"/>
      <c r="I365" s="1340"/>
      <c r="J365" s="1340"/>
    </row>
    <row r="366" spans="1:10" ht="15" customHeight="1">
      <c r="A366" s="1362"/>
      <c r="B366" s="1410" t="s">
        <v>1424</v>
      </c>
      <c r="C366" s="1512" t="s">
        <v>1425</v>
      </c>
      <c r="D366" s="1512"/>
      <c r="E366" s="1512"/>
      <c r="F366" s="1512"/>
      <c r="G366" s="1340"/>
      <c r="H366" s="1340"/>
      <c r="I366" s="1340"/>
      <c r="J366" s="1340"/>
    </row>
    <row r="367" spans="1:10">
      <c r="A367" s="1362"/>
      <c r="B367" s="1410"/>
      <c r="C367" s="1512"/>
      <c r="D367" s="1512"/>
      <c r="E367" s="1512"/>
      <c r="F367" s="1512"/>
      <c r="G367" s="1340"/>
      <c r="H367" s="1340"/>
      <c r="I367" s="1340"/>
      <c r="J367" s="1340"/>
    </row>
    <row r="368" spans="1:10" ht="15" customHeight="1">
      <c r="A368" s="1362"/>
      <c r="B368" s="1410" t="s">
        <v>1426</v>
      </c>
      <c r="C368" s="1512" t="s">
        <v>1428</v>
      </c>
      <c r="D368" s="1512"/>
      <c r="E368" s="1512"/>
      <c r="F368" s="1512"/>
      <c r="G368" s="1340"/>
      <c r="H368" s="1340"/>
      <c r="I368" s="1340"/>
      <c r="J368" s="1340"/>
    </row>
    <row r="369" spans="1:12">
      <c r="A369" s="1362"/>
      <c r="B369" s="1410"/>
      <c r="C369" s="1512"/>
      <c r="D369" s="1512"/>
      <c r="E369" s="1512"/>
      <c r="F369" s="1512"/>
      <c r="G369" s="1340"/>
      <c r="H369" s="1340"/>
      <c r="I369" s="1340"/>
      <c r="J369" s="1340"/>
    </row>
    <row r="370" spans="1:12" ht="15" customHeight="1">
      <c r="A370" s="1362"/>
      <c r="B370" s="1410" t="s">
        <v>1427</v>
      </c>
      <c r="C370" s="1512" t="s">
        <v>1429</v>
      </c>
      <c r="D370" s="1512"/>
      <c r="E370" s="1512"/>
      <c r="F370" s="1512"/>
      <c r="G370" s="1340"/>
      <c r="H370" s="1340"/>
      <c r="I370" s="1340"/>
      <c r="J370" s="1340"/>
    </row>
    <row r="371" spans="1:12">
      <c r="A371" s="1362"/>
      <c r="B371" s="1410"/>
      <c r="C371" s="1512"/>
      <c r="D371" s="1512"/>
      <c r="E371" s="1512"/>
      <c r="F371" s="1512"/>
      <c r="G371" s="1340"/>
      <c r="H371" s="1340"/>
      <c r="I371" s="1340"/>
      <c r="J371" s="1340"/>
    </row>
    <row r="372" spans="1:12">
      <c r="A372" s="80"/>
      <c r="B372" s="936"/>
      <c r="C372" s="850"/>
      <c r="D372" s="33"/>
      <c r="E372" s="845"/>
      <c r="F372" s="842"/>
      <c r="G372" s="840"/>
      <c r="H372" s="843"/>
      <c r="I372" s="483"/>
      <c r="J372" s="483"/>
      <c r="K372" s="43"/>
      <c r="L372" s="43"/>
    </row>
    <row r="373" spans="1:12">
      <c r="A373" s="1237" t="s">
        <v>840</v>
      </c>
      <c r="B373" s="60"/>
      <c r="C373" s="52"/>
      <c r="D373" s="51"/>
      <c r="E373" s="675"/>
      <c r="F373" s="51"/>
      <c r="G373" s="51"/>
      <c r="H373" s="52"/>
    </row>
    <row r="374" spans="1:12">
      <c r="A374" s="15"/>
      <c r="B374" s="4"/>
      <c r="C374" s="14"/>
      <c r="D374" s="14"/>
    </row>
    <row r="375" spans="1:12">
      <c r="H375" s="57"/>
    </row>
    <row r="376" spans="1:12">
      <c r="C376" s="846"/>
      <c r="D376" s="846"/>
      <c r="E376" s="847"/>
      <c r="F376" s="846"/>
      <c r="H376" s="56"/>
    </row>
    <row r="377" spans="1:12">
      <c r="C377" s="846"/>
      <c r="D377" s="846"/>
      <c r="E377" s="847"/>
      <c r="F377" s="846"/>
      <c r="G377" s="17"/>
      <c r="H377" s="765"/>
    </row>
    <row r="378" spans="1:12" ht="17.5">
      <c r="C378" s="846"/>
      <c r="D378" s="846"/>
      <c r="E378" s="847"/>
      <c r="F378" s="846"/>
      <c r="G378" s="17"/>
      <c r="H378" s="759"/>
    </row>
    <row r="379" spans="1:12" ht="17.5">
      <c r="C379" s="846"/>
      <c r="D379" s="846"/>
      <c r="E379" s="847"/>
      <c r="F379" s="846"/>
      <c r="G379" s="17"/>
      <c r="H379" s="766"/>
    </row>
    <row r="380" spans="1:12" ht="17.5">
      <c r="C380" s="846"/>
      <c r="D380" s="846"/>
      <c r="E380" s="847"/>
      <c r="F380" s="846"/>
      <c r="G380" s="17"/>
      <c r="H380" s="759"/>
    </row>
    <row r="381" spans="1:12">
      <c r="C381" s="761"/>
      <c r="F381" s="17"/>
      <c r="G381" s="17"/>
      <c r="H381" s="17"/>
    </row>
    <row r="382" spans="1:12">
      <c r="F382" s="17"/>
      <c r="G382" s="17"/>
      <c r="H382" s="765"/>
    </row>
    <row r="383" spans="1:12" ht="17.5">
      <c r="F383" s="17"/>
      <c r="G383" s="17"/>
      <c r="H383" s="759"/>
    </row>
    <row r="384" spans="1:12" ht="17.5">
      <c r="F384" s="17"/>
      <c r="G384" s="17"/>
      <c r="H384" s="766"/>
    </row>
    <row r="385" spans="6:8" ht="17.5">
      <c r="F385" s="17"/>
      <c r="G385" s="17"/>
      <c r="H385" s="759"/>
    </row>
    <row r="386" spans="6:8">
      <c r="F386" s="17"/>
      <c r="G386" s="17"/>
      <c r="H386" s="17"/>
    </row>
    <row r="387" spans="6:8">
      <c r="F387" s="17"/>
      <c r="G387" s="17"/>
      <c r="H387" s="17"/>
    </row>
    <row r="388" spans="6:8">
      <c r="F388" s="27"/>
      <c r="G388" s="17"/>
      <c r="H388" s="17"/>
    </row>
    <row r="389" spans="6:8">
      <c r="F389" s="27"/>
      <c r="G389" s="17"/>
      <c r="H389" s="17"/>
    </row>
    <row r="390" spans="6:8">
      <c r="F390" s="17"/>
      <c r="G390" s="17"/>
      <c r="H390" s="17"/>
    </row>
    <row r="391" spans="6:8">
      <c r="F391" s="17"/>
      <c r="G391" s="17"/>
      <c r="H391" s="17"/>
    </row>
    <row r="392" spans="6:8">
      <c r="F392" s="17"/>
      <c r="G392" s="17"/>
      <c r="H392" s="17"/>
    </row>
    <row r="393" spans="6:8">
      <c r="F393" s="17"/>
      <c r="G393" s="17"/>
      <c r="H393" s="17"/>
    </row>
    <row r="394" spans="6:8">
      <c r="F394" s="17"/>
      <c r="G394" s="17"/>
      <c r="H394" s="17"/>
    </row>
    <row r="395" spans="6:8" ht="17.5">
      <c r="F395" s="17"/>
      <c r="G395" s="17"/>
      <c r="H395" s="759"/>
    </row>
    <row r="396" spans="6:8" ht="17.5">
      <c r="F396" s="17"/>
      <c r="G396" s="17"/>
      <c r="H396" s="766"/>
    </row>
    <row r="397" spans="6:8" ht="17.5">
      <c r="F397" s="17"/>
      <c r="G397" s="17"/>
      <c r="H397" s="759"/>
    </row>
    <row r="398" spans="6:8">
      <c r="F398" s="17"/>
      <c r="G398" s="17"/>
      <c r="H398" s="17"/>
    </row>
    <row r="399" spans="6:8" ht="17.5">
      <c r="F399" s="17"/>
      <c r="G399" s="17"/>
      <c r="H399" s="759"/>
    </row>
    <row r="400" spans="6:8">
      <c r="F400" s="17"/>
      <c r="G400" s="17"/>
      <c r="H400" s="17"/>
    </row>
  </sheetData>
  <mergeCells count="16">
    <mergeCell ref="C366:F367"/>
    <mergeCell ref="C368:F369"/>
    <mergeCell ref="C370:F371"/>
    <mergeCell ref="C339:F342"/>
    <mergeCell ref="C343:F347"/>
    <mergeCell ref="C349:F350"/>
    <mergeCell ref="C352:F352"/>
    <mergeCell ref="C353:F361"/>
    <mergeCell ref="F4:F5"/>
    <mergeCell ref="H4:H5"/>
    <mergeCell ref="C362:F365"/>
    <mergeCell ref="C316:F318"/>
    <mergeCell ref="C324:F325"/>
    <mergeCell ref="C326:F329"/>
    <mergeCell ref="C333:F335"/>
    <mergeCell ref="C336:F337"/>
  </mergeCells>
  <phoneticPr fontId="0" type="noConversion"/>
  <printOptions horizontalCentered="1"/>
  <pageMargins left="0.5" right="0.5" top="1.5" bottom="0.5" header="0.5" footer="0.5"/>
  <pageSetup scale="40" fitToHeight="5" orientation="portrait" r:id="rId1"/>
  <headerFooter alignWithMargins="0">
    <oddHeader>&amp;L&amp;"Arial,Bold"&amp;22Baltimore Gas and Electric Company
&amp;R&amp;"Times New Roman,Bold"&amp;22Appendix A
Page &amp;P of &amp;N</oddHeader>
    <oddFooter>&amp;CPage &amp;P of 5</oddFooter>
  </headerFooter>
  <rowBreaks count="4" manualBreakCount="4">
    <brk id="74" max="7" man="1"/>
    <brk id="158" max="7" man="1"/>
    <brk id="227" max="7" man="1"/>
    <brk id="312"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14"/>
  <sheetViews>
    <sheetView view="pageBreakPreview" topLeftCell="A16" zoomScaleNormal="100" workbookViewId="0">
      <selection activeCell="F35" sqref="F35"/>
    </sheetView>
  </sheetViews>
  <sheetFormatPr defaultRowHeight="12.5"/>
  <cols>
    <col min="1" max="1" width="15.1796875" customWidth="1"/>
    <col min="2" max="2" width="13" style="96" customWidth="1"/>
    <col min="3" max="3" width="13.453125" customWidth="1"/>
    <col min="4" max="4" width="10.54296875" bestFit="1" customWidth="1"/>
    <col min="5" max="5" width="9.81640625" bestFit="1" customWidth="1"/>
    <col min="6" max="6" width="9" style="113" bestFit="1" customWidth="1"/>
    <col min="7" max="7" width="10.453125" bestFit="1" customWidth="1"/>
    <col min="8" max="8" width="10.54296875" bestFit="1" customWidth="1"/>
    <col min="9" max="9" width="9.81640625" bestFit="1" customWidth="1"/>
    <col min="10" max="10" width="9" style="113" bestFit="1" customWidth="1"/>
    <col min="11" max="11" width="10.453125" bestFit="1" customWidth="1"/>
    <col min="12" max="12" width="10.54296875" bestFit="1" customWidth="1"/>
    <col min="13" max="13" width="9.81640625" bestFit="1" customWidth="1"/>
    <col min="14" max="14" width="9" bestFit="1" customWidth="1"/>
    <col min="15" max="15" width="12" hidden="1" customWidth="1"/>
    <col min="16" max="16" width="12.54296875" hidden="1" customWidth="1"/>
    <col min="17" max="17" width="11.26953125" hidden="1" customWidth="1"/>
    <col min="18" max="18" width="10.26953125" hidden="1" customWidth="1"/>
    <col min="19" max="19" width="12" hidden="1" customWidth="1"/>
    <col min="20" max="20" width="12.54296875" hidden="1" customWidth="1"/>
    <col min="21" max="21" width="11.26953125" hidden="1" customWidth="1"/>
    <col min="22" max="22" width="10.26953125" hidden="1" customWidth="1"/>
    <col min="23" max="23" width="12" hidden="1" customWidth="1"/>
    <col min="24" max="24" width="12.54296875" hidden="1" customWidth="1"/>
    <col min="25" max="25" width="11.26953125" hidden="1" customWidth="1"/>
    <col min="26" max="26" width="10.26953125" hidden="1" customWidth="1"/>
    <col min="27" max="27" width="12" hidden="1" customWidth="1"/>
    <col min="28" max="28" width="12.54296875" hidden="1" customWidth="1"/>
    <col min="29" max="29" width="11.26953125" hidden="1" customWidth="1"/>
    <col min="30" max="30" width="10.26953125" hidden="1" customWidth="1"/>
    <col min="31" max="31" width="12" hidden="1" customWidth="1"/>
    <col min="32" max="32" width="12.54296875" hidden="1" customWidth="1"/>
    <col min="33" max="33" width="11.26953125" hidden="1" customWidth="1"/>
    <col min="34" max="34" width="10.26953125" hidden="1" customWidth="1"/>
    <col min="35" max="35" width="12" hidden="1" customWidth="1"/>
    <col min="36" max="36" width="12.54296875" hidden="1" customWidth="1"/>
    <col min="37" max="37" width="11.26953125" hidden="1" customWidth="1"/>
    <col min="38" max="38" width="10.26953125" hidden="1" customWidth="1"/>
    <col min="39" max="39" width="13.7265625" bestFit="1" customWidth="1"/>
    <col min="40" max="40" width="15" bestFit="1" customWidth="1"/>
    <col min="41" max="41" width="12.54296875" bestFit="1" customWidth="1"/>
  </cols>
  <sheetData>
    <row r="1" spans="1:41" ht="13">
      <c r="A1" s="1564" t="s">
        <v>533</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c r="AN1" s="1564"/>
      <c r="AO1" s="1564"/>
    </row>
    <row r="3" spans="1:41" ht="13">
      <c r="A3" s="101" t="s">
        <v>532</v>
      </c>
    </row>
    <row r="6" spans="1:41">
      <c r="A6" t="s">
        <v>426</v>
      </c>
    </row>
    <row r="8" spans="1:41" ht="13">
      <c r="A8" s="123" t="s">
        <v>396</v>
      </c>
    </row>
    <row r="9" spans="1:41" ht="13">
      <c r="A9" s="123"/>
      <c r="B9" s="96" t="s">
        <v>424</v>
      </c>
    </row>
    <row r="10" spans="1:41">
      <c r="A10" s="96" t="s">
        <v>156</v>
      </c>
      <c r="B10" s="96">
        <f>+'ATT H-2A'!A290</f>
        <v>159</v>
      </c>
      <c r="C10" s="2" t="str">
        <f>+'ATT H-2A'!C290</f>
        <v>Net Plant Carrying Charge without Depreciation</v>
      </c>
      <c r="D10" s="2"/>
      <c r="F10" s="121"/>
      <c r="L10" s="122" t="e">
        <f>+'ATT H-2A'!#REF!</f>
        <v>#REF!</v>
      </c>
    </row>
    <row r="11" spans="1:41">
      <c r="A11" s="96" t="s">
        <v>293</v>
      </c>
      <c r="B11" s="96">
        <f>+'ATT H-2A'!A300</f>
        <v>166</v>
      </c>
      <c r="C11" s="2" t="str">
        <f>+'ATT H-2A'!C300</f>
        <v>Net Plant Carrying Charge per 100 basis point increase in ROE without Depreciation</v>
      </c>
      <c r="D11" s="2"/>
      <c r="F11" s="121"/>
      <c r="L11" s="122" t="e">
        <f>+'ATT H-2A'!#REF!</f>
        <v>#REF!</v>
      </c>
    </row>
    <row r="12" spans="1:41">
      <c r="A12" s="96" t="s">
        <v>133</v>
      </c>
      <c r="C12" t="s">
        <v>398</v>
      </c>
      <c r="F12" s="121"/>
      <c r="L12" s="122" t="e">
        <f>+L11-L10</f>
        <v>#REF!</v>
      </c>
    </row>
    <row r="13" spans="1:41">
      <c r="F13" s="121"/>
      <c r="L13" s="122"/>
    </row>
    <row r="14" spans="1:41" ht="13">
      <c r="A14" s="123" t="s">
        <v>395</v>
      </c>
      <c r="F14" s="121"/>
      <c r="L14" s="122"/>
    </row>
    <row r="15" spans="1:41" ht="13">
      <c r="A15" s="123"/>
      <c r="F15" s="121"/>
      <c r="L15" s="122"/>
    </row>
    <row r="16" spans="1:41">
      <c r="A16" s="96" t="s">
        <v>157</v>
      </c>
      <c r="B16" s="96">
        <f>+'ATT H-2A'!A291</f>
        <v>160</v>
      </c>
      <c r="C16" s="2" t="str">
        <f>+'ATT H-2A'!C291</f>
        <v>Net Plant Carrying Charge without Depreciation, Return, nor Income Taxes</v>
      </c>
      <c r="D16" s="2"/>
      <c r="F16" s="121"/>
      <c r="L16" s="122" t="e">
        <f>+'ATT H-2A'!#REF!</f>
        <v>#REF!</v>
      </c>
    </row>
    <row r="18" spans="1:41" ht="13">
      <c r="A18" s="101" t="s">
        <v>551</v>
      </c>
    </row>
    <row r="19" spans="1:41" ht="13">
      <c r="A19" s="101" t="s">
        <v>552</v>
      </c>
    </row>
    <row r="20" spans="1:41" ht="13" thickBot="1"/>
    <row r="21" spans="1:41" ht="13">
      <c r="A21" s="319" t="s">
        <v>389</v>
      </c>
      <c r="B21" s="320"/>
      <c r="C21" s="321" t="s">
        <v>386</v>
      </c>
      <c r="D21" s="322" t="str">
        <f>+C21</f>
        <v>Project A</v>
      </c>
      <c r="E21" s="322" t="str">
        <f>+D21</f>
        <v>Project A</v>
      </c>
      <c r="F21" s="323" t="str">
        <f>+E21</f>
        <v>Project A</v>
      </c>
      <c r="G21" s="321" t="s">
        <v>412</v>
      </c>
      <c r="H21" s="322" t="s">
        <v>412</v>
      </c>
      <c r="I21" s="322" t="s">
        <v>412</v>
      </c>
      <c r="J21" s="323" t="s">
        <v>412</v>
      </c>
      <c r="K21" s="321" t="s">
        <v>413</v>
      </c>
      <c r="L21" s="322" t="str">
        <f>+K21</f>
        <v>Project C</v>
      </c>
      <c r="M21" s="322" t="str">
        <f>+L21</f>
        <v>Project C</v>
      </c>
      <c r="N21" s="324" t="str">
        <f>+M21</f>
        <v>Project C</v>
      </c>
      <c r="O21" s="321" t="s">
        <v>414</v>
      </c>
      <c r="P21" s="322" t="str">
        <f>+O21</f>
        <v>Project D</v>
      </c>
      <c r="Q21" s="322" t="str">
        <f>+P21</f>
        <v>Project D</v>
      </c>
      <c r="R21" s="324" t="str">
        <f>+Q21</f>
        <v>Project D</v>
      </c>
      <c r="S21" s="321" t="s">
        <v>415</v>
      </c>
      <c r="T21" s="322" t="str">
        <f>+S21</f>
        <v>Project E</v>
      </c>
      <c r="U21" s="322" t="str">
        <f>+T21</f>
        <v>Project E</v>
      </c>
      <c r="V21" s="324" t="str">
        <f>+U21</f>
        <v>Project E</v>
      </c>
      <c r="W21" s="321" t="s">
        <v>416</v>
      </c>
      <c r="X21" s="322" t="str">
        <f>+W21</f>
        <v>Project F</v>
      </c>
      <c r="Y21" s="322" t="str">
        <f>+X21</f>
        <v>Project F</v>
      </c>
      <c r="Z21" s="324" t="str">
        <f>+Y21</f>
        <v>Project F</v>
      </c>
      <c r="AA21" s="321" t="s">
        <v>417</v>
      </c>
      <c r="AB21" s="322" t="str">
        <f>+AA21</f>
        <v>Project G</v>
      </c>
      <c r="AC21" s="322" t="str">
        <f>+AB21</f>
        <v>Project G</v>
      </c>
      <c r="AD21" s="324" t="str">
        <f>+AC21</f>
        <v>Project G</v>
      </c>
      <c r="AE21" s="321" t="s">
        <v>418</v>
      </c>
      <c r="AF21" s="322" t="str">
        <f>+AE21</f>
        <v>Project H</v>
      </c>
      <c r="AG21" s="322" t="str">
        <f>+AF21</f>
        <v>Project H</v>
      </c>
      <c r="AH21" s="324" t="str">
        <f>+AG21</f>
        <v>Project H</v>
      </c>
      <c r="AI21" s="321" t="s">
        <v>419</v>
      </c>
      <c r="AJ21" s="322" t="str">
        <f>+AI21</f>
        <v>Project I</v>
      </c>
      <c r="AK21" s="322" t="str">
        <f>+AJ21</f>
        <v>Project I</v>
      </c>
      <c r="AL21" s="324" t="str">
        <f>+AK21</f>
        <v>Project I</v>
      </c>
      <c r="AM21" s="368"/>
      <c r="AN21" s="97"/>
      <c r="AO21" s="97"/>
    </row>
    <row r="22" spans="1:41" ht="13">
      <c r="A22" s="284" t="s">
        <v>387</v>
      </c>
      <c r="B22" s="325"/>
      <c r="C22" s="326">
        <v>30</v>
      </c>
      <c r="D22" s="325"/>
      <c r="E22" s="325"/>
      <c r="F22" s="327"/>
      <c r="G22" s="326">
        <v>35</v>
      </c>
      <c r="H22" s="325"/>
      <c r="I22" s="325"/>
      <c r="J22" s="327"/>
      <c r="K22" s="326">
        <v>40</v>
      </c>
      <c r="L22" s="325"/>
      <c r="M22" s="325"/>
      <c r="N22" s="328"/>
      <c r="O22" s="326">
        <v>40</v>
      </c>
      <c r="P22" s="325"/>
      <c r="Q22" s="325"/>
      <c r="R22" s="328"/>
      <c r="S22" s="326">
        <v>40</v>
      </c>
      <c r="T22" s="325"/>
      <c r="U22" s="325"/>
      <c r="V22" s="328"/>
      <c r="W22" s="326">
        <v>40</v>
      </c>
      <c r="X22" s="325"/>
      <c r="Y22" s="325"/>
      <c r="Z22" s="328"/>
      <c r="AA22" s="326">
        <v>35</v>
      </c>
      <c r="AB22" s="325"/>
      <c r="AC22" s="325"/>
      <c r="AD22" s="328"/>
      <c r="AE22" s="326">
        <v>25</v>
      </c>
      <c r="AF22" s="325"/>
      <c r="AG22" s="325"/>
      <c r="AH22" s="328"/>
      <c r="AI22" s="326">
        <v>30</v>
      </c>
      <c r="AJ22" s="325"/>
      <c r="AK22" s="325"/>
      <c r="AL22" s="328"/>
      <c r="AM22" s="282"/>
      <c r="AN22" s="97"/>
      <c r="AO22" s="97"/>
    </row>
    <row r="23" spans="1:41" ht="13">
      <c r="A23" s="284" t="s">
        <v>388</v>
      </c>
      <c r="B23" s="325"/>
      <c r="C23" s="326" t="s">
        <v>392</v>
      </c>
      <c r="D23" s="325"/>
      <c r="E23" s="325"/>
      <c r="F23" s="327"/>
      <c r="G23" s="326" t="s">
        <v>392</v>
      </c>
      <c r="H23" s="325"/>
      <c r="I23" s="325"/>
      <c r="J23" s="327"/>
      <c r="K23" s="326" t="s">
        <v>393</v>
      </c>
      <c r="L23" s="325"/>
      <c r="M23" s="325"/>
      <c r="N23" s="328"/>
      <c r="O23" s="326" t="s">
        <v>392</v>
      </c>
      <c r="P23" s="325"/>
      <c r="Q23" s="325"/>
      <c r="R23" s="328"/>
      <c r="S23" s="326" t="s">
        <v>392</v>
      </c>
      <c r="T23" s="325"/>
      <c r="U23" s="325"/>
      <c r="V23" s="328"/>
      <c r="W23" s="326" t="s">
        <v>392</v>
      </c>
      <c r="X23" s="325"/>
      <c r="Y23" s="325"/>
      <c r="Z23" s="328"/>
      <c r="AA23" s="326" t="s">
        <v>393</v>
      </c>
      <c r="AB23" s="325"/>
      <c r="AC23" s="325"/>
      <c r="AD23" s="328"/>
      <c r="AE23" s="326" t="s">
        <v>393</v>
      </c>
      <c r="AF23" s="325"/>
      <c r="AG23" s="325"/>
      <c r="AH23" s="328"/>
      <c r="AI23" s="326" t="s">
        <v>392</v>
      </c>
      <c r="AJ23" s="325"/>
      <c r="AK23" s="325"/>
      <c r="AL23" s="328"/>
      <c r="AM23" s="282"/>
      <c r="AN23" s="97"/>
      <c r="AO23" s="97"/>
    </row>
    <row r="24" spans="1:41" ht="13">
      <c r="A24" s="284" t="s">
        <v>391</v>
      </c>
      <c r="B24" s="325"/>
      <c r="C24" s="326">
        <v>50</v>
      </c>
      <c r="D24" s="325"/>
      <c r="E24" s="325"/>
      <c r="F24" s="327"/>
      <c r="G24" s="326">
        <v>0</v>
      </c>
      <c r="H24" s="325"/>
      <c r="I24" s="325"/>
      <c r="J24" s="327"/>
      <c r="K24" s="326">
        <v>100</v>
      </c>
      <c r="L24" s="325"/>
      <c r="M24" s="325"/>
      <c r="N24" s="328"/>
      <c r="O24" s="326">
        <v>150</v>
      </c>
      <c r="P24" s="325"/>
      <c r="Q24" s="325"/>
      <c r="R24" s="328"/>
      <c r="S24" s="326">
        <v>100</v>
      </c>
      <c r="T24" s="325"/>
      <c r="U24" s="325"/>
      <c r="V24" s="328"/>
      <c r="W24" s="326">
        <v>50</v>
      </c>
      <c r="X24" s="325"/>
      <c r="Y24" s="325"/>
      <c r="Z24" s="328"/>
      <c r="AA24" s="326">
        <v>100</v>
      </c>
      <c r="AB24" s="325"/>
      <c r="AC24" s="325"/>
      <c r="AD24" s="328"/>
      <c r="AE24" s="326">
        <v>150</v>
      </c>
      <c r="AF24" s="325"/>
      <c r="AG24" s="325"/>
      <c r="AH24" s="328"/>
      <c r="AI24" s="326">
        <v>50</v>
      </c>
      <c r="AJ24" s="325"/>
      <c r="AK24" s="325"/>
      <c r="AL24" s="328"/>
      <c r="AM24" s="282"/>
      <c r="AN24" s="97"/>
      <c r="AO24" s="97"/>
    </row>
    <row r="25" spans="1:41" ht="13">
      <c r="A25" s="284" t="s">
        <v>407</v>
      </c>
      <c r="B25" s="325"/>
      <c r="C25" s="284" t="e">
        <f>+$L10</f>
        <v>#REF!</v>
      </c>
      <c r="D25" s="99"/>
      <c r="E25" s="99"/>
      <c r="F25" s="329"/>
      <c r="G25" s="284" t="e">
        <f>+$L10</f>
        <v>#REF!</v>
      </c>
      <c r="H25" s="99"/>
      <c r="I25" s="99"/>
      <c r="J25" s="329"/>
      <c r="K25" s="326" t="e">
        <f>$L16</f>
        <v>#REF!</v>
      </c>
      <c r="L25" s="325"/>
      <c r="M25" s="325"/>
      <c r="N25" s="328"/>
      <c r="O25" s="284" t="e">
        <f>+$L10</f>
        <v>#REF!</v>
      </c>
      <c r="P25" s="99"/>
      <c r="Q25" s="99"/>
      <c r="R25" s="282"/>
      <c r="S25" s="284" t="e">
        <f>+$L10</f>
        <v>#REF!</v>
      </c>
      <c r="T25" s="99"/>
      <c r="U25" s="99"/>
      <c r="V25" s="282"/>
      <c r="W25" s="284" t="e">
        <f>+$L10</f>
        <v>#REF!</v>
      </c>
      <c r="X25" s="99"/>
      <c r="Y25" s="99"/>
      <c r="Z25" s="282"/>
      <c r="AA25" s="326" t="e">
        <f>$L16</f>
        <v>#REF!</v>
      </c>
      <c r="AB25" s="325"/>
      <c r="AC25" s="325"/>
      <c r="AD25" s="328"/>
      <c r="AE25" s="326" t="e">
        <f>$L16</f>
        <v>#REF!</v>
      </c>
      <c r="AF25" s="325"/>
      <c r="AG25" s="325"/>
      <c r="AH25" s="328"/>
      <c r="AI25" s="284" t="e">
        <f>+$L10</f>
        <v>#REF!</v>
      </c>
      <c r="AJ25" s="99"/>
      <c r="AK25" s="99"/>
      <c r="AL25" s="282"/>
      <c r="AM25" s="282"/>
      <c r="AN25" s="97"/>
      <c r="AO25" s="97"/>
    </row>
    <row r="26" spans="1:41" ht="13">
      <c r="A26" s="284" t="s">
        <v>397</v>
      </c>
      <c r="B26" s="325"/>
      <c r="C26" s="284" t="e">
        <f>($L10+$L12/100*C24)</f>
        <v>#REF!</v>
      </c>
      <c r="D26" s="99"/>
      <c r="E26" s="99"/>
      <c r="F26" s="329"/>
      <c r="G26" s="284" t="e">
        <f>($L10+$L12/100*G24)</f>
        <v>#REF!</v>
      </c>
      <c r="H26" s="99"/>
      <c r="I26" s="99"/>
      <c r="J26" s="329"/>
      <c r="K26" s="284" t="e">
        <f>+L16</f>
        <v>#REF!</v>
      </c>
      <c r="L26" s="99"/>
      <c r="M26" s="99"/>
      <c r="N26" s="282"/>
      <c r="O26" s="284" t="e">
        <f>($L10+$L12/100*O24)</f>
        <v>#REF!</v>
      </c>
      <c r="P26" s="99"/>
      <c r="Q26" s="99"/>
      <c r="R26" s="282"/>
      <c r="S26" s="284" t="e">
        <f>($L10+$L12/100*S24)</f>
        <v>#REF!</v>
      </c>
      <c r="T26" s="99"/>
      <c r="U26" s="99"/>
      <c r="V26" s="282"/>
      <c r="W26" s="284" t="e">
        <f>($L10+$L12/100*W24)</f>
        <v>#REF!</v>
      </c>
      <c r="X26" s="99"/>
      <c r="Y26" s="99"/>
      <c r="Z26" s="282"/>
      <c r="AA26" s="284" t="e">
        <f>+L16</f>
        <v>#REF!</v>
      </c>
      <c r="AB26" s="99"/>
      <c r="AC26" s="99"/>
      <c r="AD26" s="282"/>
      <c r="AE26" s="284" t="e">
        <f>+L16</f>
        <v>#REF!</v>
      </c>
      <c r="AF26" s="99"/>
      <c r="AG26" s="99"/>
      <c r="AH26" s="282"/>
      <c r="AI26" s="284" t="e">
        <f>($L10+$L12/100*AI24)</f>
        <v>#REF!</v>
      </c>
      <c r="AJ26" s="99"/>
      <c r="AK26" s="99"/>
      <c r="AL26" s="282"/>
      <c r="AM26" s="282"/>
      <c r="AN26" s="97"/>
      <c r="AO26" s="97"/>
    </row>
    <row r="27" spans="1:41" ht="13">
      <c r="A27" s="284" t="s">
        <v>399</v>
      </c>
      <c r="B27" s="325"/>
      <c r="C27" s="330">
        <v>20000000</v>
      </c>
      <c r="D27" s="331"/>
      <c r="E27" s="331"/>
      <c r="F27" s="329"/>
      <c r="G27" s="330">
        <v>30000000</v>
      </c>
      <c r="H27" s="331"/>
      <c r="I27" s="331"/>
      <c r="J27" s="329"/>
      <c r="K27" s="330">
        <v>20000000</v>
      </c>
      <c r="L27" s="331"/>
      <c r="M27" s="331"/>
      <c r="N27" s="329"/>
      <c r="O27" s="330">
        <v>30000000</v>
      </c>
      <c r="P27" s="331"/>
      <c r="Q27" s="331"/>
      <c r="R27" s="329"/>
      <c r="S27" s="330">
        <v>20000000</v>
      </c>
      <c r="T27" s="331"/>
      <c r="U27" s="331"/>
      <c r="V27" s="329"/>
      <c r="W27" s="330">
        <v>30000000</v>
      </c>
      <c r="X27" s="331"/>
      <c r="Y27" s="331"/>
      <c r="Z27" s="329"/>
      <c r="AA27" s="330">
        <v>20000000</v>
      </c>
      <c r="AB27" s="331"/>
      <c r="AC27" s="331"/>
      <c r="AD27" s="329"/>
      <c r="AE27" s="330">
        <v>30000000</v>
      </c>
      <c r="AF27" s="331"/>
      <c r="AG27" s="331"/>
      <c r="AH27" s="329"/>
      <c r="AI27" s="330">
        <v>20000000</v>
      </c>
      <c r="AJ27" s="331"/>
      <c r="AK27" s="331"/>
      <c r="AL27" s="329"/>
      <c r="AM27" s="282"/>
      <c r="AN27" s="97"/>
      <c r="AO27" s="97"/>
    </row>
    <row r="28" spans="1:41" ht="13">
      <c r="A28" s="284" t="s">
        <v>400</v>
      </c>
      <c r="B28" s="325"/>
      <c r="C28" s="330">
        <f>+C27/C22</f>
        <v>666666.66666666663</v>
      </c>
      <c r="D28" s="331"/>
      <c r="E28" s="331"/>
      <c r="F28" s="329"/>
      <c r="G28" s="330">
        <f>+G27/G22</f>
        <v>857142.85714285716</v>
      </c>
      <c r="H28" s="331"/>
      <c r="I28" s="331"/>
      <c r="J28" s="329"/>
      <c r="K28" s="330">
        <f>+K27/K22</f>
        <v>500000</v>
      </c>
      <c r="L28" s="331"/>
      <c r="M28" s="331"/>
      <c r="N28" s="329"/>
      <c r="O28" s="330">
        <f>+O27/O22</f>
        <v>750000</v>
      </c>
      <c r="P28" s="331"/>
      <c r="Q28" s="331"/>
      <c r="R28" s="329"/>
      <c r="S28" s="330">
        <f>+S27/S22</f>
        <v>500000</v>
      </c>
      <c r="T28" s="331"/>
      <c r="U28" s="331"/>
      <c r="V28" s="329"/>
      <c r="W28" s="330">
        <f>+W27/W22</f>
        <v>750000</v>
      </c>
      <c r="X28" s="331"/>
      <c r="Y28" s="331"/>
      <c r="Z28" s="329"/>
      <c r="AA28" s="330">
        <f>+AA27/AA22</f>
        <v>571428.57142857148</v>
      </c>
      <c r="AB28" s="331"/>
      <c r="AC28" s="331"/>
      <c r="AD28" s="329"/>
      <c r="AE28" s="330">
        <f>+AE27/AE22</f>
        <v>1200000</v>
      </c>
      <c r="AF28" s="331"/>
      <c r="AG28" s="331"/>
      <c r="AH28" s="329"/>
      <c r="AI28" s="330">
        <f>+AI27/AI22</f>
        <v>666666.66666666663</v>
      </c>
      <c r="AJ28" s="331"/>
      <c r="AK28" s="331"/>
      <c r="AL28" s="329"/>
      <c r="AM28" s="282"/>
      <c r="AN28" s="97"/>
      <c r="AO28" s="97"/>
    </row>
    <row r="29" spans="1:41" s="2" customFormat="1" ht="13">
      <c r="A29" s="361" t="s">
        <v>499</v>
      </c>
      <c r="B29" s="304"/>
      <c r="C29" s="362">
        <v>6</v>
      </c>
      <c r="D29" s="363"/>
      <c r="E29" s="363"/>
      <c r="F29" s="364"/>
      <c r="G29" s="362">
        <v>3</v>
      </c>
      <c r="H29" s="363"/>
      <c r="I29" s="363"/>
      <c r="J29" s="364"/>
      <c r="K29" s="362">
        <v>9</v>
      </c>
      <c r="L29" s="363"/>
      <c r="M29" s="363"/>
      <c r="N29" s="364"/>
      <c r="O29" s="362">
        <v>10</v>
      </c>
      <c r="P29" s="363"/>
      <c r="Q29" s="363"/>
      <c r="R29" s="364"/>
      <c r="S29" s="362">
        <v>2</v>
      </c>
      <c r="T29" s="363"/>
      <c r="U29" s="363"/>
      <c r="V29" s="364"/>
      <c r="W29" s="362">
        <v>4</v>
      </c>
      <c r="X29" s="363"/>
      <c r="Y29" s="363"/>
      <c r="Z29" s="364"/>
      <c r="AA29" s="362">
        <v>11</v>
      </c>
      <c r="AB29" s="363"/>
      <c r="AC29" s="363"/>
      <c r="AD29" s="364"/>
      <c r="AE29" s="362">
        <v>8</v>
      </c>
      <c r="AF29" s="363"/>
      <c r="AG29" s="363"/>
      <c r="AH29" s="364"/>
      <c r="AI29" s="362">
        <v>9</v>
      </c>
      <c r="AJ29" s="363"/>
      <c r="AK29" s="363"/>
      <c r="AL29" s="364"/>
      <c r="AM29" s="369"/>
      <c r="AN29" s="98"/>
      <c r="AO29" s="98"/>
    </row>
    <row r="30" spans="1:41" ht="13.5" thickBot="1">
      <c r="A30" s="289"/>
      <c r="B30" s="332"/>
      <c r="C30" s="333"/>
      <c r="D30" s="334"/>
      <c r="E30" s="334"/>
      <c r="F30" s="335"/>
      <c r="G30" s="333"/>
      <c r="H30" s="334"/>
      <c r="I30" s="334"/>
      <c r="J30" s="335"/>
      <c r="K30" s="333"/>
      <c r="L30" s="334"/>
      <c r="M30" s="334"/>
      <c r="N30" s="335"/>
      <c r="O30" s="333"/>
      <c r="P30" s="334"/>
      <c r="Q30" s="334"/>
      <c r="R30" s="335"/>
      <c r="S30" s="333"/>
      <c r="T30" s="334"/>
      <c r="U30" s="334"/>
      <c r="V30" s="335"/>
      <c r="W30" s="333"/>
      <c r="X30" s="334"/>
      <c r="Y30" s="334"/>
      <c r="Z30" s="335"/>
      <c r="AA30" s="333"/>
      <c r="AB30" s="334"/>
      <c r="AC30" s="334"/>
      <c r="AD30" s="335"/>
      <c r="AE30" s="333"/>
      <c r="AF30" s="334"/>
      <c r="AG30" s="334"/>
      <c r="AH30" s="335"/>
      <c r="AI30" s="333"/>
      <c r="AJ30" s="334"/>
      <c r="AK30" s="334"/>
      <c r="AL30" s="335"/>
      <c r="AM30" s="290"/>
      <c r="AN30" s="97"/>
      <c r="AO30" s="97"/>
    </row>
    <row r="31" spans="1:41" ht="13">
      <c r="A31" s="319"/>
      <c r="B31" s="336" t="s">
        <v>390</v>
      </c>
      <c r="C31" s="322" t="s">
        <v>409</v>
      </c>
      <c r="D31" s="322" t="s">
        <v>410</v>
      </c>
      <c r="E31" s="322" t="s">
        <v>411</v>
      </c>
      <c r="F31" s="323" t="s">
        <v>408</v>
      </c>
      <c r="G31" s="322" t="s">
        <v>409</v>
      </c>
      <c r="H31" s="322" t="s">
        <v>410</v>
      </c>
      <c r="I31" s="322" t="s">
        <v>411</v>
      </c>
      <c r="J31" s="324" t="s">
        <v>408</v>
      </c>
      <c r="K31" s="321" t="s">
        <v>409</v>
      </c>
      <c r="L31" s="322" t="s">
        <v>410</v>
      </c>
      <c r="M31" s="322" t="s">
        <v>411</v>
      </c>
      <c r="N31" s="324" t="s">
        <v>408</v>
      </c>
      <c r="O31" s="321" t="s">
        <v>409</v>
      </c>
      <c r="P31" s="322" t="s">
        <v>410</v>
      </c>
      <c r="Q31" s="322" t="s">
        <v>411</v>
      </c>
      <c r="R31" s="324" t="s">
        <v>408</v>
      </c>
      <c r="S31" s="321" t="s">
        <v>409</v>
      </c>
      <c r="T31" s="322" t="s">
        <v>410</v>
      </c>
      <c r="U31" s="322" t="s">
        <v>411</v>
      </c>
      <c r="V31" s="324" t="s">
        <v>408</v>
      </c>
      <c r="W31" s="321" t="s">
        <v>409</v>
      </c>
      <c r="X31" s="322" t="s">
        <v>410</v>
      </c>
      <c r="Y31" s="322" t="s">
        <v>411</v>
      </c>
      <c r="Z31" s="324" t="s">
        <v>408</v>
      </c>
      <c r="AA31" s="321" t="s">
        <v>409</v>
      </c>
      <c r="AB31" s="322" t="s">
        <v>410</v>
      </c>
      <c r="AC31" s="322" t="s">
        <v>411</v>
      </c>
      <c r="AD31" s="324" t="s">
        <v>408</v>
      </c>
      <c r="AE31" s="321" t="s">
        <v>409</v>
      </c>
      <c r="AF31" s="322" t="s">
        <v>410</v>
      </c>
      <c r="AG31" s="322" t="s">
        <v>411</v>
      </c>
      <c r="AH31" s="324" t="s">
        <v>408</v>
      </c>
      <c r="AI31" s="321" t="s">
        <v>409</v>
      </c>
      <c r="AJ31" s="322" t="s">
        <v>410</v>
      </c>
      <c r="AK31" s="322" t="s">
        <v>411</v>
      </c>
      <c r="AL31" s="324" t="s">
        <v>408</v>
      </c>
      <c r="AM31" s="358" t="s">
        <v>292</v>
      </c>
      <c r="AN31" s="337" t="s">
        <v>422</v>
      </c>
      <c r="AO31" s="338" t="s">
        <v>423</v>
      </c>
    </row>
    <row r="32" spans="1:41" ht="13">
      <c r="A32" s="284" t="s">
        <v>427</v>
      </c>
      <c r="B32" s="339">
        <v>2005</v>
      </c>
      <c r="C32" s="340">
        <f>+C27</f>
        <v>20000000</v>
      </c>
      <c r="D32" s="331">
        <f>+C$28/12*(12-C$29)</f>
        <v>333333.33333333331</v>
      </c>
      <c r="E32" s="340">
        <f t="shared" ref="E32:E63" si="0">+C32-D32</f>
        <v>19666666.666666668</v>
      </c>
      <c r="F32" s="329" t="e">
        <f>+C$25*E32+D32</f>
        <v>#REF!</v>
      </c>
      <c r="G32" s="99"/>
      <c r="H32" s="99"/>
      <c r="I32" s="99"/>
      <c r="J32" s="329"/>
      <c r="K32" s="284"/>
      <c r="L32" s="99"/>
      <c r="M32" s="99"/>
      <c r="N32" s="329"/>
      <c r="O32" s="284"/>
      <c r="P32" s="99"/>
      <c r="Q32" s="99"/>
      <c r="R32" s="329"/>
      <c r="S32" s="284"/>
      <c r="T32" s="99"/>
      <c r="U32" s="99"/>
      <c r="V32" s="329"/>
      <c r="W32" s="284"/>
      <c r="X32" s="99"/>
      <c r="Y32" s="99"/>
      <c r="Z32" s="329"/>
      <c r="AA32" s="284"/>
      <c r="AB32" s="99"/>
      <c r="AC32" s="99"/>
      <c r="AD32" s="329"/>
      <c r="AE32" s="284"/>
      <c r="AF32" s="99"/>
      <c r="AG32" s="99"/>
      <c r="AH32" s="329"/>
      <c r="AI32" s="284"/>
      <c r="AJ32" s="99"/>
      <c r="AK32" s="99"/>
      <c r="AL32" s="329"/>
      <c r="AM32" s="359" t="e">
        <f>+N32+J32+F32</f>
        <v>#REF!</v>
      </c>
      <c r="AN32" s="99"/>
      <c r="AO32" s="341" t="e">
        <f>+AM32</f>
        <v>#REF!</v>
      </c>
    </row>
    <row r="33" spans="1:41" ht="13">
      <c r="A33" s="284" t="s">
        <v>394</v>
      </c>
      <c r="B33" s="339">
        <v>2005</v>
      </c>
      <c r="C33" s="340">
        <f>+C32</f>
        <v>20000000</v>
      </c>
      <c r="D33" s="331">
        <f>+D32</f>
        <v>333333.33333333331</v>
      </c>
      <c r="E33" s="340">
        <f t="shared" si="0"/>
        <v>19666666.666666668</v>
      </c>
      <c r="F33" s="329" t="e">
        <f>+C$26*E33+D33</f>
        <v>#REF!</v>
      </c>
      <c r="G33" s="99"/>
      <c r="H33" s="99"/>
      <c r="I33" s="99"/>
      <c r="J33" s="329"/>
      <c r="K33" s="284"/>
      <c r="L33" s="99"/>
      <c r="M33" s="99"/>
      <c r="N33" s="329"/>
      <c r="O33" s="284"/>
      <c r="P33" s="99"/>
      <c r="Q33" s="99"/>
      <c r="R33" s="329"/>
      <c r="S33" s="284"/>
      <c r="T33" s="99"/>
      <c r="U33" s="99"/>
      <c r="V33" s="329"/>
      <c r="W33" s="284"/>
      <c r="X33" s="99"/>
      <c r="Y33" s="99"/>
      <c r="Z33" s="329"/>
      <c r="AA33" s="284"/>
      <c r="AB33" s="99"/>
      <c r="AC33" s="99"/>
      <c r="AD33" s="329"/>
      <c r="AE33" s="284"/>
      <c r="AF33" s="99"/>
      <c r="AG33" s="99"/>
      <c r="AH33" s="329"/>
      <c r="AI33" s="284"/>
      <c r="AJ33" s="99"/>
      <c r="AK33" s="99"/>
      <c r="AL33" s="329"/>
      <c r="AM33" s="359" t="e">
        <f t="shared" ref="AM33:AM71" si="1">+N33+J33+F33</f>
        <v>#REF!</v>
      </c>
      <c r="AN33" s="342" t="e">
        <f>+AM33</f>
        <v>#REF!</v>
      </c>
      <c r="AO33" s="282"/>
    </row>
    <row r="34" spans="1:41" ht="13">
      <c r="A34" s="284" t="s">
        <v>427</v>
      </c>
      <c r="B34" s="339">
        <f>+B32+1</f>
        <v>2006</v>
      </c>
      <c r="C34" s="340">
        <f>+E33</f>
        <v>19666666.666666668</v>
      </c>
      <c r="D34" s="340">
        <f>+C$28</f>
        <v>666666.66666666663</v>
      </c>
      <c r="E34" s="340">
        <f t="shared" si="0"/>
        <v>19000000</v>
      </c>
      <c r="F34" s="329" t="e">
        <f>+C$25*E34+D34</f>
        <v>#REF!</v>
      </c>
      <c r="G34" s="340">
        <f>+G$27</f>
        <v>30000000</v>
      </c>
      <c r="H34" s="331">
        <f>+G$28/12*(12-G$29)</f>
        <v>642857.14285714296</v>
      </c>
      <c r="I34" s="340">
        <f t="shared" ref="I34:I65" si="2">+G34-H34</f>
        <v>29357142.857142858</v>
      </c>
      <c r="J34" s="329" t="e">
        <f>+G$25*I34+H34</f>
        <v>#REF!</v>
      </c>
      <c r="K34" s="343">
        <f>+K$27</f>
        <v>20000000</v>
      </c>
      <c r="L34" s="331">
        <f>+K$28/12*(12-K$29)</f>
        <v>125000</v>
      </c>
      <c r="M34" s="340">
        <f t="shared" ref="M34:M65" si="3">+K34-L34</f>
        <v>19875000</v>
      </c>
      <c r="N34" s="329" t="e">
        <f>+K$25*M34+L34</f>
        <v>#REF!</v>
      </c>
      <c r="O34" s="343"/>
      <c r="P34" s="331"/>
      <c r="Q34" s="340"/>
      <c r="R34" s="329"/>
      <c r="S34" s="343"/>
      <c r="T34" s="331"/>
      <c r="U34" s="340"/>
      <c r="V34" s="329"/>
      <c r="W34" s="343"/>
      <c r="X34" s="331"/>
      <c r="Y34" s="340"/>
      <c r="Z34" s="329"/>
      <c r="AA34" s="343"/>
      <c r="AB34" s="331"/>
      <c r="AC34" s="340"/>
      <c r="AD34" s="329"/>
      <c r="AE34" s="343"/>
      <c r="AF34" s="331"/>
      <c r="AG34" s="340"/>
      <c r="AH34" s="329"/>
      <c r="AI34" s="343"/>
      <c r="AJ34" s="331"/>
      <c r="AK34" s="340"/>
      <c r="AL34" s="329"/>
      <c r="AM34" s="359" t="e">
        <f t="shared" si="1"/>
        <v>#REF!</v>
      </c>
      <c r="AN34" s="99"/>
      <c r="AO34" s="341" t="e">
        <f>+AM34</f>
        <v>#REF!</v>
      </c>
    </row>
    <row r="35" spans="1:41" ht="13">
      <c r="A35" s="284" t="s">
        <v>394</v>
      </c>
      <c r="B35" s="339">
        <f t="shared" ref="B35:B71" si="4">+B33+1</f>
        <v>2006</v>
      </c>
      <c r="C35" s="340">
        <f>+C34</f>
        <v>19666666.666666668</v>
      </c>
      <c r="D35" s="340">
        <f>+D34</f>
        <v>666666.66666666663</v>
      </c>
      <c r="E35" s="340">
        <f t="shared" si="0"/>
        <v>19000000</v>
      </c>
      <c r="F35" s="329" t="e">
        <f>+C$26*E35+D35</f>
        <v>#REF!</v>
      </c>
      <c r="G35" s="340">
        <f>+G34</f>
        <v>30000000</v>
      </c>
      <c r="H35" s="331">
        <f>+H34</f>
        <v>642857.14285714296</v>
      </c>
      <c r="I35" s="340">
        <f t="shared" si="2"/>
        <v>29357142.857142858</v>
      </c>
      <c r="J35" s="329" t="e">
        <f>+G$26*I35+H35</f>
        <v>#REF!</v>
      </c>
      <c r="K35" s="343">
        <f>+K34</f>
        <v>20000000</v>
      </c>
      <c r="L35" s="331">
        <f>+L34</f>
        <v>125000</v>
      </c>
      <c r="M35" s="340">
        <f t="shared" si="3"/>
        <v>19875000</v>
      </c>
      <c r="N35" s="329" t="e">
        <f>+K$26*M35+L35</f>
        <v>#REF!</v>
      </c>
      <c r="O35" s="343"/>
      <c r="P35" s="331"/>
      <c r="Q35" s="340"/>
      <c r="R35" s="329"/>
      <c r="S35" s="343"/>
      <c r="T35" s="331"/>
      <c r="U35" s="340"/>
      <c r="V35" s="329"/>
      <c r="W35" s="343"/>
      <c r="X35" s="331"/>
      <c r="Y35" s="340"/>
      <c r="Z35" s="329"/>
      <c r="AA35" s="343"/>
      <c r="AB35" s="331"/>
      <c r="AC35" s="340"/>
      <c r="AD35" s="329"/>
      <c r="AE35" s="343"/>
      <c r="AF35" s="331"/>
      <c r="AG35" s="340"/>
      <c r="AH35" s="329"/>
      <c r="AI35" s="343"/>
      <c r="AJ35" s="331"/>
      <c r="AK35" s="340"/>
      <c r="AL35" s="329"/>
      <c r="AM35" s="359" t="e">
        <f t="shared" si="1"/>
        <v>#REF!</v>
      </c>
      <c r="AN35" s="342" t="e">
        <f>+AM35</f>
        <v>#REF!</v>
      </c>
      <c r="AO35" s="282"/>
    </row>
    <row r="36" spans="1:41" ht="13">
      <c r="A36" s="284" t="s">
        <v>427</v>
      </c>
      <c r="B36" s="339">
        <f t="shared" si="4"/>
        <v>2007</v>
      </c>
      <c r="C36" s="340">
        <f>+E35</f>
        <v>19000000</v>
      </c>
      <c r="D36" s="340">
        <f>+C$28</f>
        <v>666666.66666666663</v>
      </c>
      <c r="E36" s="340">
        <f t="shared" si="0"/>
        <v>18333333.333333332</v>
      </c>
      <c r="F36" s="329" t="e">
        <f>+C$25*E36+D36</f>
        <v>#REF!</v>
      </c>
      <c r="G36" s="340">
        <f>+I35</f>
        <v>29357142.857142858</v>
      </c>
      <c r="H36" s="340">
        <f>+G$28</f>
        <v>857142.85714285716</v>
      </c>
      <c r="I36" s="340">
        <f t="shared" si="2"/>
        <v>28500000</v>
      </c>
      <c r="J36" s="329" t="e">
        <f>+G$25*I36+H36</f>
        <v>#REF!</v>
      </c>
      <c r="K36" s="343">
        <f>+M35</f>
        <v>19875000</v>
      </c>
      <c r="L36" s="340">
        <f>+K$28</f>
        <v>500000</v>
      </c>
      <c r="M36" s="340">
        <f t="shared" si="3"/>
        <v>19375000</v>
      </c>
      <c r="N36" s="329" t="e">
        <f>+K$25*M36+L36</f>
        <v>#REF!</v>
      </c>
      <c r="O36" s="343">
        <f>+O$27</f>
        <v>30000000</v>
      </c>
      <c r="P36" s="331">
        <f>+O$28/12*(12-O$29)</f>
        <v>125000</v>
      </c>
      <c r="Q36" s="340">
        <f t="shared" ref="Q36:Q67" si="5">+O36-P36</f>
        <v>29875000</v>
      </c>
      <c r="R36" s="329" t="e">
        <f>+O$25*Q36+P36</f>
        <v>#REF!</v>
      </c>
      <c r="S36" s="343">
        <f>+S$27</f>
        <v>20000000</v>
      </c>
      <c r="T36" s="331">
        <f>+S$28/12*(12-S$29)</f>
        <v>416666.66666666663</v>
      </c>
      <c r="U36" s="340">
        <f t="shared" ref="U36:U67" si="6">+S36-T36</f>
        <v>19583333.333333332</v>
      </c>
      <c r="V36" s="329" t="e">
        <f>+S$25*U36+T36</f>
        <v>#REF!</v>
      </c>
      <c r="W36" s="343"/>
      <c r="X36" s="340"/>
      <c r="Y36" s="340"/>
      <c r="Z36" s="329"/>
      <c r="AA36" s="343"/>
      <c r="AB36" s="340"/>
      <c r="AC36" s="340"/>
      <c r="AD36" s="329"/>
      <c r="AE36" s="343"/>
      <c r="AF36" s="340"/>
      <c r="AG36" s="340"/>
      <c r="AH36" s="329"/>
      <c r="AI36" s="343"/>
      <c r="AJ36" s="340"/>
      <c r="AK36" s="340"/>
      <c r="AL36" s="329"/>
      <c r="AM36" s="359" t="e">
        <f t="shared" si="1"/>
        <v>#REF!</v>
      </c>
      <c r="AN36" s="99"/>
      <c r="AO36" s="341" t="e">
        <f>+AM36</f>
        <v>#REF!</v>
      </c>
    </row>
    <row r="37" spans="1:41" ht="13">
      <c r="A37" s="284" t="s">
        <v>394</v>
      </c>
      <c r="B37" s="339">
        <f t="shared" si="4"/>
        <v>2007</v>
      </c>
      <c r="C37" s="340">
        <f>+C36</f>
        <v>19000000</v>
      </c>
      <c r="D37" s="340">
        <f>+D36</f>
        <v>666666.66666666663</v>
      </c>
      <c r="E37" s="340">
        <f t="shared" si="0"/>
        <v>18333333.333333332</v>
      </c>
      <c r="F37" s="329" t="e">
        <f>+C$26*E37+D37</f>
        <v>#REF!</v>
      </c>
      <c r="G37" s="340">
        <f>+G36</f>
        <v>29357142.857142858</v>
      </c>
      <c r="H37" s="340">
        <f>+H36</f>
        <v>857142.85714285716</v>
      </c>
      <c r="I37" s="340">
        <f t="shared" si="2"/>
        <v>28500000</v>
      </c>
      <c r="J37" s="329" t="e">
        <f>+G$26*I37+H37</f>
        <v>#REF!</v>
      </c>
      <c r="K37" s="343">
        <f>+K36</f>
        <v>19875000</v>
      </c>
      <c r="L37" s="340">
        <f>+L36</f>
        <v>500000</v>
      </c>
      <c r="M37" s="340">
        <f t="shared" si="3"/>
        <v>19375000</v>
      </c>
      <c r="N37" s="329" t="e">
        <f>+K$26*M37+L37</f>
        <v>#REF!</v>
      </c>
      <c r="O37" s="343">
        <f>+O36</f>
        <v>30000000</v>
      </c>
      <c r="P37" s="331">
        <f>+P36</f>
        <v>125000</v>
      </c>
      <c r="Q37" s="340">
        <f t="shared" si="5"/>
        <v>29875000</v>
      </c>
      <c r="R37" s="329" t="e">
        <f>+O$26*Q37+P37</f>
        <v>#REF!</v>
      </c>
      <c r="S37" s="343">
        <f>+S36</f>
        <v>20000000</v>
      </c>
      <c r="T37" s="331">
        <f>+T36</f>
        <v>416666.66666666663</v>
      </c>
      <c r="U37" s="340">
        <f t="shared" si="6"/>
        <v>19583333.333333332</v>
      </c>
      <c r="V37" s="329" t="e">
        <f>+S$26*U37+T37</f>
        <v>#REF!</v>
      </c>
      <c r="W37" s="343"/>
      <c r="X37" s="340"/>
      <c r="Y37" s="340"/>
      <c r="Z37" s="329"/>
      <c r="AA37" s="343"/>
      <c r="AB37" s="340"/>
      <c r="AC37" s="340"/>
      <c r="AD37" s="329"/>
      <c r="AE37" s="343"/>
      <c r="AF37" s="340"/>
      <c r="AG37" s="340"/>
      <c r="AH37" s="329"/>
      <c r="AI37" s="343"/>
      <c r="AJ37" s="340"/>
      <c r="AK37" s="340"/>
      <c r="AL37" s="329"/>
      <c r="AM37" s="359" t="e">
        <f t="shared" si="1"/>
        <v>#REF!</v>
      </c>
      <c r="AN37" s="342" t="e">
        <f>+AM37</f>
        <v>#REF!</v>
      </c>
      <c r="AO37" s="282"/>
    </row>
    <row r="38" spans="1:41" ht="13">
      <c r="A38" s="284" t="s">
        <v>427</v>
      </c>
      <c r="B38" s="339">
        <f t="shared" si="4"/>
        <v>2008</v>
      </c>
      <c r="C38" s="340">
        <f>+E37</f>
        <v>18333333.333333332</v>
      </c>
      <c r="D38" s="340">
        <f>+C$28</f>
        <v>666666.66666666663</v>
      </c>
      <c r="E38" s="340">
        <f t="shared" si="0"/>
        <v>17666666.666666664</v>
      </c>
      <c r="F38" s="329" t="e">
        <f>+C$25*E38+D38</f>
        <v>#REF!</v>
      </c>
      <c r="G38" s="340">
        <f>+I37</f>
        <v>28500000</v>
      </c>
      <c r="H38" s="340">
        <f>+G$28</f>
        <v>857142.85714285716</v>
      </c>
      <c r="I38" s="340">
        <f t="shared" si="2"/>
        <v>27642857.142857142</v>
      </c>
      <c r="J38" s="329" t="e">
        <f>+G$25*I38+H38</f>
        <v>#REF!</v>
      </c>
      <c r="K38" s="343">
        <f>+M37</f>
        <v>19375000</v>
      </c>
      <c r="L38" s="340">
        <f>+K$28</f>
        <v>500000</v>
      </c>
      <c r="M38" s="340">
        <f t="shared" si="3"/>
        <v>18875000</v>
      </c>
      <c r="N38" s="329" t="e">
        <f>+K$25*M38+L38</f>
        <v>#REF!</v>
      </c>
      <c r="O38" s="343">
        <f>+Q37</f>
        <v>29875000</v>
      </c>
      <c r="P38" s="340">
        <f>+O$28</f>
        <v>750000</v>
      </c>
      <c r="Q38" s="340">
        <f t="shared" si="5"/>
        <v>29125000</v>
      </c>
      <c r="R38" s="329" t="e">
        <f>+O$25*Q38+P38</f>
        <v>#REF!</v>
      </c>
      <c r="S38" s="343">
        <f>+U37</f>
        <v>19583333.333333332</v>
      </c>
      <c r="T38" s="340">
        <f>+S$28</f>
        <v>500000</v>
      </c>
      <c r="U38" s="340">
        <f t="shared" si="6"/>
        <v>19083333.333333332</v>
      </c>
      <c r="V38" s="329" t="e">
        <f>+S$25*U38+T38</f>
        <v>#REF!</v>
      </c>
      <c r="W38" s="343">
        <f>+W$27</f>
        <v>30000000</v>
      </c>
      <c r="X38" s="331">
        <f>+W$28/12*(12-W$29)</f>
        <v>500000</v>
      </c>
      <c r="Y38" s="340">
        <f t="shared" ref="Y38:Y69" si="7">+W38-X38</f>
        <v>29500000</v>
      </c>
      <c r="Z38" s="329" t="e">
        <f>+W$25*Y38+X38</f>
        <v>#REF!</v>
      </c>
      <c r="AA38" s="343">
        <f>+AA$27</f>
        <v>20000000</v>
      </c>
      <c r="AB38" s="331">
        <f>+AA$28/12*(12-AA$29)</f>
        <v>47619.047619047626</v>
      </c>
      <c r="AC38" s="340">
        <f t="shared" ref="AC38:AC69" si="8">+AA38-AB38</f>
        <v>19952380.952380951</v>
      </c>
      <c r="AD38" s="329" t="e">
        <f>+AA$25*AC38+AB38</f>
        <v>#REF!</v>
      </c>
      <c r="AE38" s="343"/>
      <c r="AF38" s="340"/>
      <c r="AG38" s="340"/>
      <c r="AH38" s="329"/>
      <c r="AI38" s="343"/>
      <c r="AJ38" s="340"/>
      <c r="AK38" s="340"/>
      <c r="AL38" s="329"/>
      <c r="AM38" s="359" t="e">
        <f t="shared" si="1"/>
        <v>#REF!</v>
      </c>
      <c r="AN38" s="99"/>
      <c r="AO38" s="341" t="e">
        <f>+AM38</f>
        <v>#REF!</v>
      </c>
    </row>
    <row r="39" spans="1:41" ht="13">
      <c r="A39" s="284" t="s">
        <v>394</v>
      </c>
      <c r="B39" s="339">
        <f t="shared" si="4"/>
        <v>2008</v>
      </c>
      <c r="C39" s="340">
        <f>+C38</f>
        <v>18333333.333333332</v>
      </c>
      <c r="D39" s="340">
        <f>+D38</f>
        <v>666666.66666666663</v>
      </c>
      <c r="E39" s="340">
        <f t="shared" si="0"/>
        <v>17666666.666666664</v>
      </c>
      <c r="F39" s="329" t="e">
        <f>+C$26*E39+D39</f>
        <v>#REF!</v>
      </c>
      <c r="G39" s="340">
        <f>+G38</f>
        <v>28500000</v>
      </c>
      <c r="H39" s="340">
        <f>+H38</f>
        <v>857142.85714285716</v>
      </c>
      <c r="I39" s="340">
        <f t="shared" si="2"/>
        <v>27642857.142857142</v>
      </c>
      <c r="J39" s="329" t="e">
        <f>+G$26*I39+H39</f>
        <v>#REF!</v>
      </c>
      <c r="K39" s="343">
        <f>+K38</f>
        <v>19375000</v>
      </c>
      <c r="L39" s="340">
        <f>+L38</f>
        <v>500000</v>
      </c>
      <c r="M39" s="340">
        <f t="shared" si="3"/>
        <v>18875000</v>
      </c>
      <c r="N39" s="329" t="e">
        <f>+K$26*M39+L39</f>
        <v>#REF!</v>
      </c>
      <c r="O39" s="343">
        <f>+O38</f>
        <v>29875000</v>
      </c>
      <c r="P39" s="340">
        <f>+P38</f>
        <v>750000</v>
      </c>
      <c r="Q39" s="340">
        <f t="shared" si="5"/>
        <v>29125000</v>
      </c>
      <c r="R39" s="329" t="e">
        <f>+O$26*Q39+P39</f>
        <v>#REF!</v>
      </c>
      <c r="S39" s="343">
        <f>+S38</f>
        <v>19583333.333333332</v>
      </c>
      <c r="T39" s="340">
        <f>+T38</f>
        <v>500000</v>
      </c>
      <c r="U39" s="340">
        <f t="shared" si="6"/>
        <v>19083333.333333332</v>
      </c>
      <c r="V39" s="329" t="e">
        <f>+S$26*U39+T39</f>
        <v>#REF!</v>
      </c>
      <c r="W39" s="343">
        <f>+W38</f>
        <v>30000000</v>
      </c>
      <c r="X39" s="331">
        <f>+X38</f>
        <v>500000</v>
      </c>
      <c r="Y39" s="340">
        <f t="shared" si="7"/>
        <v>29500000</v>
      </c>
      <c r="Z39" s="329" t="e">
        <f>+W$26*Y39+X39</f>
        <v>#REF!</v>
      </c>
      <c r="AA39" s="343">
        <f>+AA38</f>
        <v>20000000</v>
      </c>
      <c r="AB39" s="331">
        <f>+AB38</f>
        <v>47619.047619047626</v>
      </c>
      <c r="AC39" s="340">
        <f t="shared" si="8"/>
        <v>19952380.952380951</v>
      </c>
      <c r="AD39" s="329" t="e">
        <f>+AA$26*AC39+AB39</f>
        <v>#REF!</v>
      </c>
      <c r="AE39" s="343"/>
      <c r="AF39" s="340"/>
      <c r="AG39" s="340"/>
      <c r="AH39" s="329"/>
      <c r="AI39" s="343"/>
      <c r="AJ39" s="340"/>
      <c r="AK39" s="340"/>
      <c r="AL39" s="329"/>
      <c r="AM39" s="359" t="e">
        <f t="shared" si="1"/>
        <v>#REF!</v>
      </c>
      <c r="AN39" s="342" t="e">
        <f>+AM39</f>
        <v>#REF!</v>
      </c>
      <c r="AO39" s="282"/>
    </row>
    <row r="40" spans="1:41" ht="13">
      <c r="A40" s="284" t="s">
        <v>427</v>
      </c>
      <c r="B40" s="339">
        <f t="shared" si="4"/>
        <v>2009</v>
      </c>
      <c r="C40" s="340">
        <f>+E39</f>
        <v>17666666.666666664</v>
      </c>
      <c r="D40" s="340">
        <f>+C$28</f>
        <v>666666.66666666663</v>
      </c>
      <c r="E40" s="340">
        <f t="shared" si="0"/>
        <v>16999999.999999996</v>
      </c>
      <c r="F40" s="329" t="e">
        <f>+C$25*E40+D40</f>
        <v>#REF!</v>
      </c>
      <c r="G40" s="340">
        <f>+I39</f>
        <v>27642857.142857142</v>
      </c>
      <c r="H40" s="340">
        <f>+G$28</f>
        <v>857142.85714285716</v>
      </c>
      <c r="I40" s="340">
        <f t="shared" si="2"/>
        <v>26785714.285714284</v>
      </c>
      <c r="J40" s="329" t="e">
        <f>+G$25*I40+H40</f>
        <v>#REF!</v>
      </c>
      <c r="K40" s="343">
        <f>+M39</f>
        <v>18875000</v>
      </c>
      <c r="L40" s="340">
        <f>+K$28</f>
        <v>500000</v>
      </c>
      <c r="M40" s="340">
        <f t="shared" si="3"/>
        <v>18375000</v>
      </c>
      <c r="N40" s="329" t="e">
        <f>+K$25*M40+L40</f>
        <v>#REF!</v>
      </c>
      <c r="O40" s="343">
        <f>+Q39</f>
        <v>29125000</v>
      </c>
      <c r="P40" s="340">
        <f>+O$28</f>
        <v>750000</v>
      </c>
      <c r="Q40" s="340">
        <f t="shared" si="5"/>
        <v>28375000</v>
      </c>
      <c r="R40" s="329" t="e">
        <f>+O$25*Q40+P40</f>
        <v>#REF!</v>
      </c>
      <c r="S40" s="343">
        <f>+U39</f>
        <v>19083333.333333332</v>
      </c>
      <c r="T40" s="340">
        <f>+S$28</f>
        <v>500000</v>
      </c>
      <c r="U40" s="340">
        <f t="shared" si="6"/>
        <v>18583333.333333332</v>
      </c>
      <c r="V40" s="329" t="e">
        <f>+S$25*U40+T40</f>
        <v>#REF!</v>
      </c>
      <c r="W40" s="343">
        <f>+Y39</f>
        <v>29500000</v>
      </c>
      <c r="X40" s="340">
        <f>+W$28</f>
        <v>750000</v>
      </c>
      <c r="Y40" s="340">
        <f t="shared" si="7"/>
        <v>28750000</v>
      </c>
      <c r="Z40" s="329" t="e">
        <f>+W$25*Y40+X40</f>
        <v>#REF!</v>
      </c>
      <c r="AA40" s="343">
        <f>+AC39</f>
        <v>19952380.952380951</v>
      </c>
      <c r="AB40" s="340">
        <f>+AA$28</f>
        <v>571428.57142857148</v>
      </c>
      <c r="AC40" s="340">
        <f t="shared" si="8"/>
        <v>19380952.380952381</v>
      </c>
      <c r="AD40" s="329" t="e">
        <f>+AA$25*AC40+AB40</f>
        <v>#REF!</v>
      </c>
      <c r="AE40" s="343">
        <f>+AE$27</f>
        <v>30000000</v>
      </c>
      <c r="AF40" s="331">
        <f>+AE$28/12*(12-AE$29)</f>
        <v>400000</v>
      </c>
      <c r="AG40" s="340">
        <f t="shared" ref="AG40:AG71" si="9">+AE40-AF40</f>
        <v>29600000</v>
      </c>
      <c r="AH40" s="329" t="e">
        <f>+AE$25*AG40+AF40</f>
        <v>#REF!</v>
      </c>
      <c r="AI40" s="343">
        <f>+AI$27</f>
        <v>20000000</v>
      </c>
      <c r="AJ40" s="331">
        <f>+AI$28/12*(12-AI$29)</f>
        <v>166666.66666666666</v>
      </c>
      <c r="AK40" s="340">
        <f t="shared" ref="AK40:AK71" si="10">+AI40-AJ40</f>
        <v>19833333.333333332</v>
      </c>
      <c r="AL40" s="329" t="e">
        <f>+AI$25*AK40+AJ40</f>
        <v>#REF!</v>
      </c>
      <c r="AM40" s="359" t="e">
        <f t="shared" si="1"/>
        <v>#REF!</v>
      </c>
      <c r="AN40" s="99"/>
      <c r="AO40" s="341" t="e">
        <f>+AM40</f>
        <v>#REF!</v>
      </c>
    </row>
    <row r="41" spans="1:41" ht="13">
      <c r="A41" s="284" t="s">
        <v>394</v>
      </c>
      <c r="B41" s="339">
        <f t="shared" si="4"/>
        <v>2009</v>
      </c>
      <c r="C41" s="340">
        <f>+C40</f>
        <v>17666666.666666664</v>
      </c>
      <c r="D41" s="340">
        <f>+D40</f>
        <v>666666.66666666663</v>
      </c>
      <c r="E41" s="340">
        <f t="shared" si="0"/>
        <v>16999999.999999996</v>
      </c>
      <c r="F41" s="329" t="e">
        <f>+C$26*E41+D41</f>
        <v>#REF!</v>
      </c>
      <c r="G41" s="340">
        <f>+G40</f>
        <v>27642857.142857142</v>
      </c>
      <c r="H41" s="340">
        <f>+H40</f>
        <v>857142.85714285716</v>
      </c>
      <c r="I41" s="340">
        <f t="shared" si="2"/>
        <v>26785714.285714284</v>
      </c>
      <c r="J41" s="329" t="e">
        <f>+G$26*I41+H41</f>
        <v>#REF!</v>
      </c>
      <c r="K41" s="343">
        <f>+K40</f>
        <v>18875000</v>
      </c>
      <c r="L41" s="340">
        <f>+L40</f>
        <v>500000</v>
      </c>
      <c r="M41" s="340">
        <f t="shared" si="3"/>
        <v>18375000</v>
      </c>
      <c r="N41" s="329" t="e">
        <f>+K$26*M41+L41</f>
        <v>#REF!</v>
      </c>
      <c r="O41" s="343">
        <f>+O40</f>
        <v>29125000</v>
      </c>
      <c r="P41" s="340">
        <f>+P40</f>
        <v>750000</v>
      </c>
      <c r="Q41" s="340">
        <f t="shared" si="5"/>
        <v>28375000</v>
      </c>
      <c r="R41" s="329" t="e">
        <f>+O$26*Q41+P41</f>
        <v>#REF!</v>
      </c>
      <c r="S41" s="343">
        <f>+S40</f>
        <v>19083333.333333332</v>
      </c>
      <c r="T41" s="340">
        <f>+T40</f>
        <v>500000</v>
      </c>
      <c r="U41" s="340">
        <f t="shared" si="6"/>
        <v>18583333.333333332</v>
      </c>
      <c r="V41" s="329" t="e">
        <f>+S$26*U41+T41</f>
        <v>#REF!</v>
      </c>
      <c r="W41" s="343">
        <f>+W40</f>
        <v>29500000</v>
      </c>
      <c r="X41" s="340">
        <f>+X40</f>
        <v>750000</v>
      </c>
      <c r="Y41" s="340">
        <f t="shared" si="7"/>
        <v>28750000</v>
      </c>
      <c r="Z41" s="329" t="e">
        <f>+W$26*Y41+X41</f>
        <v>#REF!</v>
      </c>
      <c r="AA41" s="343">
        <f>+AA40</f>
        <v>19952380.952380951</v>
      </c>
      <c r="AB41" s="340">
        <f>+AB40</f>
        <v>571428.57142857148</v>
      </c>
      <c r="AC41" s="340">
        <f t="shared" si="8"/>
        <v>19380952.380952381</v>
      </c>
      <c r="AD41" s="329" t="e">
        <f>+AA$26*AC41+AB41</f>
        <v>#REF!</v>
      </c>
      <c r="AE41" s="343">
        <f>+AE40</f>
        <v>30000000</v>
      </c>
      <c r="AF41" s="331">
        <f>+AF40</f>
        <v>400000</v>
      </c>
      <c r="AG41" s="340">
        <f t="shared" si="9"/>
        <v>29600000</v>
      </c>
      <c r="AH41" s="329" t="e">
        <f>+AE$26*AG41+AF41</f>
        <v>#REF!</v>
      </c>
      <c r="AI41" s="343">
        <f>+AI40</f>
        <v>20000000</v>
      </c>
      <c r="AJ41" s="331">
        <f>+AJ40</f>
        <v>166666.66666666666</v>
      </c>
      <c r="AK41" s="340">
        <f t="shared" si="10"/>
        <v>19833333.333333332</v>
      </c>
      <c r="AL41" s="329" t="e">
        <f>+AI$26*AK41+AJ41</f>
        <v>#REF!</v>
      </c>
      <c r="AM41" s="359" t="e">
        <f t="shared" si="1"/>
        <v>#REF!</v>
      </c>
      <c r="AN41" s="342" t="e">
        <f>+AM41</f>
        <v>#REF!</v>
      </c>
      <c r="AO41" s="282"/>
    </row>
    <row r="42" spans="1:41" ht="13">
      <c r="A42" s="284" t="s">
        <v>427</v>
      </c>
      <c r="B42" s="339">
        <f t="shared" si="4"/>
        <v>2010</v>
      </c>
      <c r="C42" s="340">
        <f>+E41</f>
        <v>16999999.999999996</v>
      </c>
      <c r="D42" s="340">
        <f>+C$28</f>
        <v>666666.66666666663</v>
      </c>
      <c r="E42" s="340">
        <f t="shared" si="0"/>
        <v>16333333.33333333</v>
      </c>
      <c r="F42" s="329" t="e">
        <f>+C$25*E42+D42</f>
        <v>#REF!</v>
      </c>
      <c r="G42" s="340">
        <f>+I41</f>
        <v>26785714.285714284</v>
      </c>
      <c r="H42" s="340">
        <f>+G$28</f>
        <v>857142.85714285716</v>
      </c>
      <c r="I42" s="340">
        <f t="shared" si="2"/>
        <v>25928571.428571425</v>
      </c>
      <c r="J42" s="329" t="e">
        <f>+G$25*I42+H42</f>
        <v>#REF!</v>
      </c>
      <c r="K42" s="343">
        <f>+M41</f>
        <v>18375000</v>
      </c>
      <c r="L42" s="340">
        <f>+K$28</f>
        <v>500000</v>
      </c>
      <c r="M42" s="340">
        <f t="shared" si="3"/>
        <v>17875000</v>
      </c>
      <c r="N42" s="329" t="e">
        <f>+K$25*M42+L42</f>
        <v>#REF!</v>
      </c>
      <c r="O42" s="343">
        <f>+Q41</f>
        <v>28375000</v>
      </c>
      <c r="P42" s="340">
        <f>+O$28</f>
        <v>750000</v>
      </c>
      <c r="Q42" s="340">
        <f t="shared" si="5"/>
        <v>27625000</v>
      </c>
      <c r="R42" s="329" t="e">
        <f>+O$25*Q42+P42</f>
        <v>#REF!</v>
      </c>
      <c r="S42" s="343">
        <f>+U41</f>
        <v>18583333.333333332</v>
      </c>
      <c r="T42" s="340">
        <f>+S$28</f>
        <v>500000</v>
      </c>
      <c r="U42" s="340">
        <f t="shared" si="6"/>
        <v>18083333.333333332</v>
      </c>
      <c r="V42" s="329" t="e">
        <f>+S$25*U42+T42</f>
        <v>#REF!</v>
      </c>
      <c r="W42" s="343">
        <f>+Y41</f>
        <v>28750000</v>
      </c>
      <c r="X42" s="340">
        <f>+W$28</f>
        <v>750000</v>
      </c>
      <c r="Y42" s="340">
        <f t="shared" si="7"/>
        <v>28000000</v>
      </c>
      <c r="Z42" s="329" t="e">
        <f>+W$25*Y42+X42</f>
        <v>#REF!</v>
      </c>
      <c r="AA42" s="343">
        <f>+AC41</f>
        <v>19380952.380952381</v>
      </c>
      <c r="AB42" s="340">
        <f>+AA$28</f>
        <v>571428.57142857148</v>
      </c>
      <c r="AC42" s="340">
        <f t="shared" si="8"/>
        <v>18809523.80952381</v>
      </c>
      <c r="AD42" s="329" t="e">
        <f>+AA$25*AC42+AB42</f>
        <v>#REF!</v>
      </c>
      <c r="AE42" s="343">
        <f>+AG41</f>
        <v>29600000</v>
      </c>
      <c r="AF42" s="340">
        <f>+AE$28</f>
        <v>1200000</v>
      </c>
      <c r="AG42" s="340">
        <f t="shared" si="9"/>
        <v>28400000</v>
      </c>
      <c r="AH42" s="329" t="e">
        <f>+AE$25*AG42+AF42</f>
        <v>#REF!</v>
      </c>
      <c r="AI42" s="343">
        <f>+AK41</f>
        <v>19833333.333333332</v>
      </c>
      <c r="AJ42" s="340">
        <f>+AI$28</f>
        <v>666666.66666666663</v>
      </c>
      <c r="AK42" s="340">
        <f t="shared" si="10"/>
        <v>19166666.666666664</v>
      </c>
      <c r="AL42" s="329" t="e">
        <f>+AI$25*AK42+AJ42</f>
        <v>#REF!</v>
      </c>
      <c r="AM42" s="359" t="e">
        <f t="shared" si="1"/>
        <v>#REF!</v>
      </c>
      <c r="AN42" s="99"/>
      <c r="AO42" s="341" t="e">
        <f>+AM42</f>
        <v>#REF!</v>
      </c>
    </row>
    <row r="43" spans="1:41" ht="13">
      <c r="A43" s="284" t="s">
        <v>394</v>
      </c>
      <c r="B43" s="339">
        <f t="shared" si="4"/>
        <v>2010</v>
      </c>
      <c r="C43" s="340">
        <f>+C42</f>
        <v>16999999.999999996</v>
      </c>
      <c r="D43" s="340">
        <f>+D42</f>
        <v>666666.66666666663</v>
      </c>
      <c r="E43" s="340">
        <f t="shared" si="0"/>
        <v>16333333.33333333</v>
      </c>
      <c r="F43" s="329" t="e">
        <f>+C$26*E43+D43</f>
        <v>#REF!</v>
      </c>
      <c r="G43" s="340">
        <f>+G42</f>
        <v>26785714.285714284</v>
      </c>
      <c r="H43" s="340">
        <f>+H42</f>
        <v>857142.85714285716</v>
      </c>
      <c r="I43" s="340">
        <f t="shared" si="2"/>
        <v>25928571.428571425</v>
      </c>
      <c r="J43" s="329" t="e">
        <f>+G$26*I43+H43</f>
        <v>#REF!</v>
      </c>
      <c r="K43" s="343">
        <f>+K42</f>
        <v>18375000</v>
      </c>
      <c r="L43" s="340">
        <f>+L42</f>
        <v>500000</v>
      </c>
      <c r="M43" s="340">
        <f t="shared" si="3"/>
        <v>17875000</v>
      </c>
      <c r="N43" s="329" t="e">
        <f>+K$26*M43+L43</f>
        <v>#REF!</v>
      </c>
      <c r="O43" s="343">
        <f>+O42</f>
        <v>28375000</v>
      </c>
      <c r="P43" s="340">
        <f>+P42</f>
        <v>750000</v>
      </c>
      <c r="Q43" s="340">
        <f t="shared" si="5"/>
        <v>27625000</v>
      </c>
      <c r="R43" s="329" t="e">
        <f>+O$26*Q43+P43</f>
        <v>#REF!</v>
      </c>
      <c r="S43" s="343">
        <f>+S42</f>
        <v>18583333.333333332</v>
      </c>
      <c r="T43" s="340">
        <f>+T42</f>
        <v>500000</v>
      </c>
      <c r="U43" s="340">
        <f t="shared" si="6"/>
        <v>18083333.333333332</v>
      </c>
      <c r="V43" s="329" t="e">
        <f>+S$26*U43+T43</f>
        <v>#REF!</v>
      </c>
      <c r="W43" s="343">
        <f>+W42</f>
        <v>28750000</v>
      </c>
      <c r="X43" s="340">
        <f>+X42</f>
        <v>750000</v>
      </c>
      <c r="Y43" s="340">
        <f t="shared" si="7"/>
        <v>28000000</v>
      </c>
      <c r="Z43" s="329" t="e">
        <f>+W$26*Y43+X43</f>
        <v>#REF!</v>
      </c>
      <c r="AA43" s="343">
        <f>+AA42</f>
        <v>19380952.380952381</v>
      </c>
      <c r="AB43" s="340">
        <f>+AB42</f>
        <v>571428.57142857148</v>
      </c>
      <c r="AC43" s="340">
        <f t="shared" si="8"/>
        <v>18809523.80952381</v>
      </c>
      <c r="AD43" s="329" t="e">
        <f>+AA$26*AC43+AB43</f>
        <v>#REF!</v>
      </c>
      <c r="AE43" s="343">
        <f>+AE42</f>
        <v>29600000</v>
      </c>
      <c r="AF43" s="340">
        <f>+AF42</f>
        <v>1200000</v>
      </c>
      <c r="AG43" s="340">
        <f t="shared" si="9"/>
        <v>28400000</v>
      </c>
      <c r="AH43" s="329" t="e">
        <f>+AE$26*AG43+AF43</f>
        <v>#REF!</v>
      </c>
      <c r="AI43" s="343">
        <f>+AI42</f>
        <v>19833333.333333332</v>
      </c>
      <c r="AJ43" s="340">
        <f>+AJ42</f>
        <v>666666.66666666663</v>
      </c>
      <c r="AK43" s="340">
        <f t="shared" si="10"/>
        <v>19166666.666666664</v>
      </c>
      <c r="AL43" s="329" t="e">
        <f>+AI$26*AK43+AJ43</f>
        <v>#REF!</v>
      </c>
      <c r="AM43" s="359" t="e">
        <f t="shared" si="1"/>
        <v>#REF!</v>
      </c>
      <c r="AN43" s="342" t="e">
        <f>+AM43</f>
        <v>#REF!</v>
      </c>
      <c r="AO43" s="282"/>
    </row>
    <row r="44" spans="1:41" ht="13">
      <c r="A44" s="284" t="s">
        <v>427</v>
      </c>
      <c r="B44" s="339">
        <f t="shared" si="4"/>
        <v>2011</v>
      </c>
      <c r="C44" s="340">
        <f>+E43</f>
        <v>16333333.33333333</v>
      </c>
      <c r="D44" s="340">
        <f>+C$28</f>
        <v>666666.66666666663</v>
      </c>
      <c r="E44" s="340">
        <f t="shared" si="0"/>
        <v>15666666.666666664</v>
      </c>
      <c r="F44" s="329" t="e">
        <f>+C$25*E44+D44</f>
        <v>#REF!</v>
      </c>
      <c r="G44" s="340">
        <f>+I43</f>
        <v>25928571.428571425</v>
      </c>
      <c r="H44" s="340">
        <f>+G$28</f>
        <v>857142.85714285716</v>
      </c>
      <c r="I44" s="340">
        <f t="shared" si="2"/>
        <v>25071428.571428567</v>
      </c>
      <c r="J44" s="329" t="e">
        <f>+G$25*I44+H44</f>
        <v>#REF!</v>
      </c>
      <c r="K44" s="343">
        <f>+M43</f>
        <v>17875000</v>
      </c>
      <c r="L44" s="340">
        <f>+K$28</f>
        <v>500000</v>
      </c>
      <c r="M44" s="340">
        <f t="shared" si="3"/>
        <v>17375000</v>
      </c>
      <c r="N44" s="329" t="e">
        <f>+K$25*M44+L44</f>
        <v>#REF!</v>
      </c>
      <c r="O44" s="343">
        <f>+Q43</f>
        <v>27625000</v>
      </c>
      <c r="P44" s="340">
        <f>+O$28</f>
        <v>750000</v>
      </c>
      <c r="Q44" s="340">
        <f t="shared" si="5"/>
        <v>26875000</v>
      </c>
      <c r="R44" s="329" t="e">
        <f>+O$25*Q44+P44</f>
        <v>#REF!</v>
      </c>
      <c r="S44" s="343">
        <f>+U43</f>
        <v>18083333.333333332</v>
      </c>
      <c r="T44" s="340">
        <f>+S$28</f>
        <v>500000</v>
      </c>
      <c r="U44" s="340">
        <f t="shared" si="6"/>
        <v>17583333.333333332</v>
      </c>
      <c r="V44" s="329" t="e">
        <f>+S$25*U44+T44</f>
        <v>#REF!</v>
      </c>
      <c r="W44" s="343">
        <f>+Y43</f>
        <v>28000000</v>
      </c>
      <c r="X44" s="340">
        <f>+W$28</f>
        <v>750000</v>
      </c>
      <c r="Y44" s="340">
        <f t="shared" si="7"/>
        <v>27250000</v>
      </c>
      <c r="Z44" s="329" t="e">
        <f>+W$25*Y44+X44</f>
        <v>#REF!</v>
      </c>
      <c r="AA44" s="343">
        <f>+AC43</f>
        <v>18809523.80952381</v>
      </c>
      <c r="AB44" s="340">
        <f>+AA$28</f>
        <v>571428.57142857148</v>
      </c>
      <c r="AC44" s="340">
        <f t="shared" si="8"/>
        <v>18238095.238095239</v>
      </c>
      <c r="AD44" s="329" t="e">
        <f>+AA$25*AC44+AB44</f>
        <v>#REF!</v>
      </c>
      <c r="AE44" s="343">
        <f>+AG43</f>
        <v>28400000</v>
      </c>
      <c r="AF44" s="340">
        <f>+AE$28</f>
        <v>1200000</v>
      </c>
      <c r="AG44" s="340">
        <f t="shared" si="9"/>
        <v>27200000</v>
      </c>
      <c r="AH44" s="329" t="e">
        <f>+AE$25*AG44+AF44</f>
        <v>#REF!</v>
      </c>
      <c r="AI44" s="343">
        <f>+AK43</f>
        <v>19166666.666666664</v>
      </c>
      <c r="AJ44" s="340">
        <f>+AI$28</f>
        <v>666666.66666666663</v>
      </c>
      <c r="AK44" s="340">
        <f t="shared" si="10"/>
        <v>18499999.999999996</v>
      </c>
      <c r="AL44" s="329" t="e">
        <f>+AI$25*AK44+AJ44</f>
        <v>#REF!</v>
      </c>
      <c r="AM44" s="359" t="e">
        <f t="shared" si="1"/>
        <v>#REF!</v>
      </c>
      <c r="AN44" s="99"/>
      <c r="AO44" s="341" t="e">
        <f>+AM44</f>
        <v>#REF!</v>
      </c>
    </row>
    <row r="45" spans="1:41" ht="13">
      <c r="A45" s="284" t="s">
        <v>394</v>
      </c>
      <c r="B45" s="339">
        <f t="shared" si="4"/>
        <v>2011</v>
      </c>
      <c r="C45" s="340">
        <f>+C44</f>
        <v>16333333.33333333</v>
      </c>
      <c r="D45" s="340">
        <f>+D44</f>
        <v>666666.66666666663</v>
      </c>
      <c r="E45" s="340">
        <f t="shared" si="0"/>
        <v>15666666.666666664</v>
      </c>
      <c r="F45" s="329" t="e">
        <f>+C$26*E45+D45</f>
        <v>#REF!</v>
      </c>
      <c r="G45" s="340">
        <f>+G44</f>
        <v>25928571.428571425</v>
      </c>
      <c r="H45" s="340">
        <f>+H44</f>
        <v>857142.85714285716</v>
      </c>
      <c r="I45" s="340">
        <f t="shared" si="2"/>
        <v>25071428.571428567</v>
      </c>
      <c r="J45" s="329" t="e">
        <f>+G$26*I45+H45</f>
        <v>#REF!</v>
      </c>
      <c r="K45" s="343">
        <f>+K44</f>
        <v>17875000</v>
      </c>
      <c r="L45" s="340">
        <f>+L44</f>
        <v>500000</v>
      </c>
      <c r="M45" s="340">
        <f t="shared" si="3"/>
        <v>17375000</v>
      </c>
      <c r="N45" s="329" t="e">
        <f>+K$26*M45+L45</f>
        <v>#REF!</v>
      </c>
      <c r="O45" s="343">
        <f>+O44</f>
        <v>27625000</v>
      </c>
      <c r="P45" s="340">
        <f>+P44</f>
        <v>750000</v>
      </c>
      <c r="Q45" s="340">
        <f t="shared" si="5"/>
        <v>26875000</v>
      </c>
      <c r="R45" s="329" t="e">
        <f>+O$26*Q45+P45</f>
        <v>#REF!</v>
      </c>
      <c r="S45" s="343">
        <f>+S44</f>
        <v>18083333.333333332</v>
      </c>
      <c r="T45" s="340">
        <f>+T44</f>
        <v>500000</v>
      </c>
      <c r="U45" s="340">
        <f t="shared" si="6"/>
        <v>17583333.333333332</v>
      </c>
      <c r="V45" s="329" t="e">
        <f>+S$26*U45+T45</f>
        <v>#REF!</v>
      </c>
      <c r="W45" s="343">
        <f>+W44</f>
        <v>28000000</v>
      </c>
      <c r="X45" s="340">
        <f>+X44</f>
        <v>750000</v>
      </c>
      <c r="Y45" s="340">
        <f t="shared" si="7"/>
        <v>27250000</v>
      </c>
      <c r="Z45" s="329" t="e">
        <f>+W$26*Y45+X45</f>
        <v>#REF!</v>
      </c>
      <c r="AA45" s="343">
        <f>+AA44</f>
        <v>18809523.80952381</v>
      </c>
      <c r="AB45" s="340">
        <f>+AB44</f>
        <v>571428.57142857148</v>
      </c>
      <c r="AC45" s="340">
        <f t="shared" si="8"/>
        <v>18238095.238095239</v>
      </c>
      <c r="AD45" s="329" t="e">
        <f>+AA$26*AC45+AB45</f>
        <v>#REF!</v>
      </c>
      <c r="AE45" s="343">
        <f>+AE44</f>
        <v>28400000</v>
      </c>
      <c r="AF45" s="340">
        <f>+AF44</f>
        <v>1200000</v>
      </c>
      <c r="AG45" s="340">
        <f t="shared" si="9"/>
        <v>27200000</v>
      </c>
      <c r="AH45" s="329" t="e">
        <f>+AE$26*AG45+AF45</f>
        <v>#REF!</v>
      </c>
      <c r="AI45" s="343">
        <f>+AI44</f>
        <v>19166666.666666664</v>
      </c>
      <c r="AJ45" s="340">
        <f>+AJ44</f>
        <v>666666.66666666663</v>
      </c>
      <c r="AK45" s="340">
        <f t="shared" si="10"/>
        <v>18499999.999999996</v>
      </c>
      <c r="AL45" s="329" t="e">
        <f>+AI$26*AK45+AJ45</f>
        <v>#REF!</v>
      </c>
      <c r="AM45" s="359" t="e">
        <f t="shared" si="1"/>
        <v>#REF!</v>
      </c>
      <c r="AN45" s="342" t="e">
        <f>+AM45</f>
        <v>#REF!</v>
      </c>
      <c r="AO45" s="282"/>
    </row>
    <row r="46" spans="1:41" ht="13">
      <c r="A46" s="284" t="s">
        <v>427</v>
      </c>
      <c r="B46" s="339">
        <f t="shared" si="4"/>
        <v>2012</v>
      </c>
      <c r="C46" s="340">
        <f>+E45</f>
        <v>15666666.666666664</v>
      </c>
      <c r="D46" s="340">
        <f>+C$28</f>
        <v>666666.66666666663</v>
      </c>
      <c r="E46" s="340">
        <f t="shared" si="0"/>
        <v>14999999.999999998</v>
      </c>
      <c r="F46" s="329" t="e">
        <f>+C$25*E46+D46</f>
        <v>#REF!</v>
      </c>
      <c r="G46" s="340">
        <f>+I45</f>
        <v>25071428.571428567</v>
      </c>
      <c r="H46" s="340">
        <f>+G$28</f>
        <v>857142.85714285716</v>
      </c>
      <c r="I46" s="340">
        <f t="shared" si="2"/>
        <v>24214285.714285709</v>
      </c>
      <c r="J46" s="329" t="e">
        <f>+G$25*I46+H46</f>
        <v>#REF!</v>
      </c>
      <c r="K46" s="343">
        <f>+M45</f>
        <v>17375000</v>
      </c>
      <c r="L46" s="340">
        <f>+K$28</f>
        <v>500000</v>
      </c>
      <c r="M46" s="340">
        <f t="shared" si="3"/>
        <v>16875000</v>
      </c>
      <c r="N46" s="329" t="e">
        <f>+K$25*M46+L46</f>
        <v>#REF!</v>
      </c>
      <c r="O46" s="343">
        <f>+Q45</f>
        <v>26875000</v>
      </c>
      <c r="P46" s="340">
        <f>+O$28</f>
        <v>750000</v>
      </c>
      <c r="Q46" s="340">
        <f t="shared" si="5"/>
        <v>26125000</v>
      </c>
      <c r="R46" s="329" t="e">
        <f>+O$25*Q46+P46</f>
        <v>#REF!</v>
      </c>
      <c r="S46" s="343">
        <f>+U45</f>
        <v>17583333.333333332</v>
      </c>
      <c r="T46" s="340">
        <f>+S$28</f>
        <v>500000</v>
      </c>
      <c r="U46" s="340">
        <f t="shared" si="6"/>
        <v>17083333.333333332</v>
      </c>
      <c r="V46" s="329" t="e">
        <f>+S$25*U46+T46</f>
        <v>#REF!</v>
      </c>
      <c r="W46" s="343">
        <f>+Y45</f>
        <v>27250000</v>
      </c>
      <c r="X46" s="340">
        <f>+W$28</f>
        <v>750000</v>
      </c>
      <c r="Y46" s="340">
        <f t="shared" si="7"/>
        <v>26500000</v>
      </c>
      <c r="Z46" s="329" t="e">
        <f>+W$25*Y46+X46</f>
        <v>#REF!</v>
      </c>
      <c r="AA46" s="343">
        <f>+AC45</f>
        <v>18238095.238095239</v>
      </c>
      <c r="AB46" s="340">
        <f>+AA$28</f>
        <v>571428.57142857148</v>
      </c>
      <c r="AC46" s="340">
        <f t="shared" si="8"/>
        <v>17666666.666666668</v>
      </c>
      <c r="AD46" s="329" t="e">
        <f>+AA$25*AC46+AB46</f>
        <v>#REF!</v>
      </c>
      <c r="AE46" s="343">
        <f>+AG45</f>
        <v>27200000</v>
      </c>
      <c r="AF46" s="340">
        <f>+AE$28</f>
        <v>1200000</v>
      </c>
      <c r="AG46" s="340">
        <f t="shared" si="9"/>
        <v>26000000</v>
      </c>
      <c r="AH46" s="329" t="e">
        <f>+AE$25*AG46+AF46</f>
        <v>#REF!</v>
      </c>
      <c r="AI46" s="343">
        <f>+AK45</f>
        <v>18499999.999999996</v>
      </c>
      <c r="AJ46" s="340">
        <f>+AI$28</f>
        <v>666666.66666666663</v>
      </c>
      <c r="AK46" s="340">
        <f t="shared" si="10"/>
        <v>17833333.333333328</v>
      </c>
      <c r="AL46" s="329" t="e">
        <f>+AI$25*AK46+AJ46</f>
        <v>#REF!</v>
      </c>
      <c r="AM46" s="359" t="e">
        <f t="shared" si="1"/>
        <v>#REF!</v>
      </c>
      <c r="AN46" s="99"/>
      <c r="AO46" s="341" t="e">
        <f>+AM46</f>
        <v>#REF!</v>
      </c>
    </row>
    <row r="47" spans="1:41" ht="13">
      <c r="A47" s="284" t="s">
        <v>394</v>
      </c>
      <c r="B47" s="339">
        <f t="shared" si="4"/>
        <v>2012</v>
      </c>
      <c r="C47" s="340">
        <f>+C46</f>
        <v>15666666.666666664</v>
      </c>
      <c r="D47" s="340">
        <f>+D46</f>
        <v>666666.66666666663</v>
      </c>
      <c r="E47" s="340">
        <f t="shared" si="0"/>
        <v>14999999.999999998</v>
      </c>
      <c r="F47" s="329" t="e">
        <f>+C$26*E47+D47</f>
        <v>#REF!</v>
      </c>
      <c r="G47" s="340">
        <f>+G46</f>
        <v>25071428.571428567</v>
      </c>
      <c r="H47" s="340">
        <f>+H46</f>
        <v>857142.85714285716</v>
      </c>
      <c r="I47" s="340">
        <f t="shared" si="2"/>
        <v>24214285.714285709</v>
      </c>
      <c r="J47" s="329" t="e">
        <f>+G$26*I47+H47</f>
        <v>#REF!</v>
      </c>
      <c r="K47" s="343">
        <f>+K46</f>
        <v>17375000</v>
      </c>
      <c r="L47" s="340">
        <f>+L46</f>
        <v>500000</v>
      </c>
      <c r="M47" s="340">
        <f t="shared" si="3"/>
        <v>16875000</v>
      </c>
      <c r="N47" s="329" t="e">
        <f>+K$26*M47+L47</f>
        <v>#REF!</v>
      </c>
      <c r="O47" s="343">
        <f>+O46</f>
        <v>26875000</v>
      </c>
      <c r="P47" s="340">
        <f>+P46</f>
        <v>750000</v>
      </c>
      <c r="Q47" s="340">
        <f t="shared" si="5"/>
        <v>26125000</v>
      </c>
      <c r="R47" s="329" t="e">
        <f>+O$26*Q47+P47</f>
        <v>#REF!</v>
      </c>
      <c r="S47" s="343">
        <f>+S46</f>
        <v>17583333.333333332</v>
      </c>
      <c r="T47" s="340">
        <f>+T46</f>
        <v>500000</v>
      </c>
      <c r="U47" s="340">
        <f t="shared" si="6"/>
        <v>17083333.333333332</v>
      </c>
      <c r="V47" s="329" t="e">
        <f>+S$26*U47+T47</f>
        <v>#REF!</v>
      </c>
      <c r="W47" s="343">
        <f>+W46</f>
        <v>27250000</v>
      </c>
      <c r="X47" s="340">
        <f>+X46</f>
        <v>750000</v>
      </c>
      <c r="Y47" s="340">
        <f t="shared" si="7"/>
        <v>26500000</v>
      </c>
      <c r="Z47" s="329" t="e">
        <f>+W$26*Y47+X47</f>
        <v>#REF!</v>
      </c>
      <c r="AA47" s="343">
        <f>+AA46</f>
        <v>18238095.238095239</v>
      </c>
      <c r="AB47" s="340">
        <f>+AB46</f>
        <v>571428.57142857148</v>
      </c>
      <c r="AC47" s="340">
        <f t="shared" si="8"/>
        <v>17666666.666666668</v>
      </c>
      <c r="AD47" s="329" t="e">
        <f>+AA$26*AC47+AB47</f>
        <v>#REF!</v>
      </c>
      <c r="AE47" s="343">
        <f>+AE46</f>
        <v>27200000</v>
      </c>
      <c r="AF47" s="340">
        <f>+AF46</f>
        <v>1200000</v>
      </c>
      <c r="AG47" s="340">
        <f t="shared" si="9"/>
        <v>26000000</v>
      </c>
      <c r="AH47" s="329" t="e">
        <f>+AE$26*AG47+AF47</f>
        <v>#REF!</v>
      </c>
      <c r="AI47" s="343">
        <f>+AI46</f>
        <v>18499999.999999996</v>
      </c>
      <c r="AJ47" s="340">
        <f>+AJ46</f>
        <v>666666.66666666663</v>
      </c>
      <c r="AK47" s="340">
        <f t="shared" si="10"/>
        <v>17833333.333333328</v>
      </c>
      <c r="AL47" s="329" t="e">
        <f>+AI$26*AK47+AJ47</f>
        <v>#REF!</v>
      </c>
      <c r="AM47" s="359" t="e">
        <f t="shared" si="1"/>
        <v>#REF!</v>
      </c>
      <c r="AN47" s="342" t="e">
        <f>+AM47</f>
        <v>#REF!</v>
      </c>
      <c r="AO47" s="282"/>
    </row>
    <row r="48" spans="1:41" ht="13">
      <c r="A48" s="284" t="s">
        <v>427</v>
      </c>
      <c r="B48" s="339">
        <f t="shared" si="4"/>
        <v>2013</v>
      </c>
      <c r="C48" s="340">
        <f>+E47</f>
        <v>14999999.999999998</v>
      </c>
      <c r="D48" s="340">
        <f>+C$28</f>
        <v>666666.66666666663</v>
      </c>
      <c r="E48" s="340">
        <f t="shared" si="0"/>
        <v>14333333.333333332</v>
      </c>
      <c r="F48" s="329" t="e">
        <f>+C$25*E48+D48</f>
        <v>#REF!</v>
      </c>
      <c r="G48" s="340">
        <f>+I47</f>
        <v>24214285.714285709</v>
      </c>
      <c r="H48" s="340">
        <f>+G$28</f>
        <v>857142.85714285716</v>
      </c>
      <c r="I48" s="340">
        <f t="shared" si="2"/>
        <v>23357142.857142851</v>
      </c>
      <c r="J48" s="329" t="e">
        <f>+G$25*I48+H48</f>
        <v>#REF!</v>
      </c>
      <c r="K48" s="343">
        <f>+M47</f>
        <v>16875000</v>
      </c>
      <c r="L48" s="340">
        <f>+K$28</f>
        <v>500000</v>
      </c>
      <c r="M48" s="340">
        <f t="shared" si="3"/>
        <v>16375000</v>
      </c>
      <c r="N48" s="329" t="e">
        <f>+K$25*M48+L48</f>
        <v>#REF!</v>
      </c>
      <c r="O48" s="343">
        <f>+Q47</f>
        <v>26125000</v>
      </c>
      <c r="P48" s="340">
        <f>+O$28</f>
        <v>750000</v>
      </c>
      <c r="Q48" s="340">
        <f t="shared" si="5"/>
        <v>25375000</v>
      </c>
      <c r="R48" s="329" t="e">
        <f>+O$25*Q48+P48</f>
        <v>#REF!</v>
      </c>
      <c r="S48" s="343">
        <f>+U47</f>
        <v>17083333.333333332</v>
      </c>
      <c r="T48" s="340">
        <f>+S$28</f>
        <v>500000</v>
      </c>
      <c r="U48" s="340">
        <f t="shared" si="6"/>
        <v>16583333.333333332</v>
      </c>
      <c r="V48" s="329" t="e">
        <f>+S$25*U48+T48</f>
        <v>#REF!</v>
      </c>
      <c r="W48" s="343">
        <f>+Y47</f>
        <v>26500000</v>
      </c>
      <c r="X48" s="340">
        <f>+W$28</f>
        <v>750000</v>
      </c>
      <c r="Y48" s="340">
        <f t="shared" si="7"/>
        <v>25750000</v>
      </c>
      <c r="Z48" s="329" t="e">
        <f>+W$25*Y48+X48</f>
        <v>#REF!</v>
      </c>
      <c r="AA48" s="343">
        <f>+AC47</f>
        <v>17666666.666666668</v>
      </c>
      <c r="AB48" s="340">
        <f>+AA$28</f>
        <v>571428.57142857148</v>
      </c>
      <c r="AC48" s="340">
        <f t="shared" si="8"/>
        <v>17095238.095238097</v>
      </c>
      <c r="AD48" s="329" t="e">
        <f>+AA$25*AC48+AB48</f>
        <v>#REF!</v>
      </c>
      <c r="AE48" s="343">
        <f>+AG47</f>
        <v>26000000</v>
      </c>
      <c r="AF48" s="340">
        <f>+AE$28</f>
        <v>1200000</v>
      </c>
      <c r="AG48" s="340">
        <f t="shared" si="9"/>
        <v>24800000</v>
      </c>
      <c r="AH48" s="329" t="e">
        <f>+AE$25*AG48+AF48</f>
        <v>#REF!</v>
      </c>
      <c r="AI48" s="343">
        <f>+AK47</f>
        <v>17833333.333333328</v>
      </c>
      <c r="AJ48" s="340">
        <f>+AI$28</f>
        <v>666666.66666666663</v>
      </c>
      <c r="AK48" s="340">
        <f t="shared" si="10"/>
        <v>17166666.66666666</v>
      </c>
      <c r="AL48" s="329" t="e">
        <f>+AI$25*AK48+AJ48</f>
        <v>#REF!</v>
      </c>
      <c r="AM48" s="359" t="e">
        <f t="shared" si="1"/>
        <v>#REF!</v>
      </c>
      <c r="AN48" s="99"/>
      <c r="AO48" s="341" t="e">
        <f>+AM48</f>
        <v>#REF!</v>
      </c>
    </row>
    <row r="49" spans="1:41" ht="13">
      <c r="A49" s="284" t="s">
        <v>394</v>
      </c>
      <c r="B49" s="339">
        <f t="shared" si="4"/>
        <v>2013</v>
      </c>
      <c r="C49" s="340">
        <f>+C48</f>
        <v>14999999.999999998</v>
      </c>
      <c r="D49" s="340">
        <f>+D48</f>
        <v>666666.66666666663</v>
      </c>
      <c r="E49" s="340">
        <f t="shared" si="0"/>
        <v>14333333.333333332</v>
      </c>
      <c r="F49" s="329" t="e">
        <f>+C$26*E49+D49</f>
        <v>#REF!</v>
      </c>
      <c r="G49" s="340">
        <f>+G48</f>
        <v>24214285.714285709</v>
      </c>
      <c r="H49" s="340">
        <f>+H48</f>
        <v>857142.85714285716</v>
      </c>
      <c r="I49" s="340">
        <f t="shared" si="2"/>
        <v>23357142.857142851</v>
      </c>
      <c r="J49" s="329" t="e">
        <f>+G$26*I49+H49</f>
        <v>#REF!</v>
      </c>
      <c r="K49" s="343">
        <f>+K48</f>
        <v>16875000</v>
      </c>
      <c r="L49" s="340">
        <f>+L48</f>
        <v>500000</v>
      </c>
      <c r="M49" s="340">
        <f t="shared" si="3"/>
        <v>16375000</v>
      </c>
      <c r="N49" s="329" t="e">
        <f>+K$26*M49+L49</f>
        <v>#REF!</v>
      </c>
      <c r="O49" s="343">
        <f>+O48</f>
        <v>26125000</v>
      </c>
      <c r="P49" s="340">
        <f>+P48</f>
        <v>750000</v>
      </c>
      <c r="Q49" s="340">
        <f t="shared" si="5"/>
        <v>25375000</v>
      </c>
      <c r="R49" s="329" t="e">
        <f>+O$26*Q49+P49</f>
        <v>#REF!</v>
      </c>
      <c r="S49" s="343">
        <f>+S48</f>
        <v>17083333.333333332</v>
      </c>
      <c r="T49" s="340">
        <f>+T48</f>
        <v>500000</v>
      </c>
      <c r="U49" s="340">
        <f t="shared" si="6"/>
        <v>16583333.333333332</v>
      </c>
      <c r="V49" s="329" t="e">
        <f>+S$26*U49+T49</f>
        <v>#REF!</v>
      </c>
      <c r="W49" s="343">
        <f>+W48</f>
        <v>26500000</v>
      </c>
      <c r="X49" s="340">
        <f>+X48</f>
        <v>750000</v>
      </c>
      <c r="Y49" s="340">
        <f t="shared" si="7"/>
        <v>25750000</v>
      </c>
      <c r="Z49" s="329" t="e">
        <f>+W$26*Y49+X49</f>
        <v>#REF!</v>
      </c>
      <c r="AA49" s="343">
        <f>+AA48</f>
        <v>17666666.666666668</v>
      </c>
      <c r="AB49" s="340">
        <f>+AB48</f>
        <v>571428.57142857148</v>
      </c>
      <c r="AC49" s="340">
        <f t="shared" si="8"/>
        <v>17095238.095238097</v>
      </c>
      <c r="AD49" s="329" t="e">
        <f>+AA$26*AC49+AB49</f>
        <v>#REF!</v>
      </c>
      <c r="AE49" s="343">
        <f>+AE48</f>
        <v>26000000</v>
      </c>
      <c r="AF49" s="340">
        <f>+AF48</f>
        <v>1200000</v>
      </c>
      <c r="AG49" s="340">
        <f t="shared" si="9"/>
        <v>24800000</v>
      </c>
      <c r="AH49" s="329" t="e">
        <f>+AE$26*AG49+AF49</f>
        <v>#REF!</v>
      </c>
      <c r="AI49" s="343">
        <f>+AI48</f>
        <v>17833333.333333328</v>
      </c>
      <c r="AJ49" s="340">
        <f>+AJ48</f>
        <v>666666.66666666663</v>
      </c>
      <c r="AK49" s="340">
        <f t="shared" si="10"/>
        <v>17166666.66666666</v>
      </c>
      <c r="AL49" s="329" t="e">
        <f>+AI$26*AK49+AJ49</f>
        <v>#REF!</v>
      </c>
      <c r="AM49" s="359" t="e">
        <f t="shared" si="1"/>
        <v>#REF!</v>
      </c>
      <c r="AN49" s="342" t="e">
        <f>+AM49</f>
        <v>#REF!</v>
      </c>
      <c r="AO49" s="282"/>
    </row>
    <row r="50" spans="1:41" ht="13">
      <c r="A50" s="284" t="s">
        <v>427</v>
      </c>
      <c r="B50" s="339">
        <f t="shared" si="4"/>
        <v>2014</v>
      </c>
      <c r="C50" s="340">
        <f>+E49</f>
        <v>14333333.333333332</v>
      </c>
      <c r="D50" s="340">
        <f>+C$28</f>
        <v>666666.66666666663</v>
      </c>
      <c r="E50" s="340">
        <f t="shared" si="0"/>
        <v>13666666.666666666</v>
      </c>
      <c r="F50" s="329" t="e">
        <f>+C$25*E50+D50</f>
        <v>#REF!</v>
      </c>
      <c r="G50" s="340">
        <f>+I49</f>
        <v>23357142.857142851</v>
      </c>
      <c r="H50" s="340">
        <f>+G$28</f>
        <v>857142.85714285716</v>
      </c>
      <c r="I50" s="340">
        <f t="shared" si="2"/>
        <v>22499999.999999993</v>
      </c>
      <c r="J50" s="329" t="e">
        <f>+G$25*I50+H50</f>
        <v>#REF!</v>
      </c>
      <c r="K50" s="343">
        <f>+M49</f>
        <v>16375000</v>
      </c>
      <c r="L50" s="340">
        <f>+K$28</f>
        <v>500000</v>
      </c>
      <c r="M50" s="340">
        <f t="shared" si="3"/>
        <v>15875000</v>
      </c>
      <c r="N50" s="329" t="e">
        <f>+K$25*M50+L50</f>
        <v>#REF!</v>
      </c>
      <c r="O50" s="343">
        <f>+Q49</f>
        <v>25375000</v>
      </c>
      <c r="P50" s="340">
        <f>+O$28</f>
        <v>750000</v>
      </c>
      <c r="Q50" s="340">
        <f t="shared" si="5"/>
        <v>24625000</v>
      </c>
      <c r="R50" s="329" t="e">
        <f>+O$25*Q50+P50</f>
        <v>#REF!</v>
      </c>
      <c r="S50" s="343">
        <f>+U49</f>
        <v>16583333.333333332</v>
      </c>
      <c r="T50" s="340">
        <f>+S$28</f>
        <v>500000</v>
      </c>
      <c r="U50" s="340">
        <f t="shared" si="6"/>
        <v>16083333.333333332</v>
      </c>
      <c r="V50" s="329" t="e">
        <f>+S$25*U50+T50</f>
        <v>#REF!</v>
      </c>
      <c r="W50" s="343">
        <f>+Y49</f>
        <v>25750000</v>
      </c>
      <c r="X50" s="340">
        <f>+W$28</f>
        <v>750000</v>
      </c>
      <c r="Y50" s="340">
        <f t="shared" si="7"/>
        <v>25000000</v>
      </c>
      <c r="Z50" s="329" t="e">
        <f>+W$25*Y50+X50</f>
        <v>#REF!</v>
      </c>
      <c r="AA50" s="343">
        <f>+AC49</f>
        <v>17095238.095238097</v>
      </c>
      <c r="AB50" s="340">
        <f>+AA$28</f>
        <v>571428.57142857148</v>
      </c>
      <c r="AC50" s="340">
        <f t="shared" si="8"/>
        <v>16523809.523809526</v>
      </c>
      <c r="AD50" s="329" t="e">
        <f>+AA$25*AC50+AB50</f>
        <v>#REF!</v>
      </c>
      <c r="AE50" s="343">
        <f>+AG49</f>
        <v>24800000</v>
      </c>
      <c r="AF50" s="340">
        <f>+AE$28</f>
        <v>1200000</v>
      </c>
      <c r="AG50" s="340">
        <f t="shared" si="9"/>
        <v>23600000</v>
      </c>
      <c r="AH50" s="329" t="e">
        <f>+AE$25*AG50+AF50</f>
        <v>#REF!</v>
      </c>
      <c r="AI50" s="343">
        <f>+AK49</f>
        <v>17166666.66666666</v>
      </c>
      <c r="AJ50" s="340">
        <f>+AI$28</f>
        <v>666666.66666666663</v>
      </c>
      <c r="AK50" s="340">
        <f t="shared" si="10"/>
        <v>16499999.999999994</v>
      </c>
      <c r="AL50" s="329" t="e">
        <f>+AI$25*AK50+AJ50</f>
        <v>#REF!</v>
      </c>
      <c r="AM50" s="359" t="e">
        <f t="shared" si="1"/>
        <v>#REF!</v>
      </c>
      <c r="AN50" s="99"/>
      <c r="AO50" s="341" t="e">
        <f>+AM50</f>
        <v>#REF!</v>
      </c>
    </row>
    <row r="51" spans="1:41" ht="13">
      <c r="A51" s="284" t="s">
        <v>394</v>
      </c>
      <c r="B51" s="339">
        <f t="shared" si="4"/>
        <v>2014</v>
      </c>
      <c r="C51" s="340">
        <f>+C50</f>
        <v>14333333.333333332</v>
      </c>
      <c r="D51" s="340">
        <f>+D50</f>
        <v>666666.66666666663</v>
      </c>
      <c r="E51" s="340">
        <f t="shared" si="0"/>
        <v>13666666.666666666</v>
      </c>
      <c r="F51" s="329" t="e">
        <f>+C$26*E51+D51</f>
        <v>#REF!</v>
      </c>
      <c r="G51" s="340">
        <f>+G50</f>
        <v>23357142.857142851</v>
      </c>
      <c r="H51" s="340">
        <f>+H50</f>
        <v>857142.85714285716</v>
      </c>
      <c r="I51" s="340">
        <f t="shared" si="2"/>
        <v>22499999.999999993</v>
      </c>
      <c r="J51" s="329" t="e">
        <f>+G$26*I51+H51</f>
        <v>#REF!</v>
      </c>
      <c r="K51" s="343">
        <f>+K50</f>
        <v>16375000</v>
      </c>
      <c r="L51" s="340">
        <f>+L50</f>
        <v>500000</v>
      </c>
      <c r="M51" s="340">
        <f t="shared" si="3"/>
        <v>15875000</v>
      </c>
      <c r="N51" s="329" t="e">
        <f>+K$26*M51+L51</f>
        <v>#REF!</v>
      </c>
      <c r="O51" s="343">
        <f>+O50</f>
        <v>25375000</v>
      </c>
      <c r="P51" s="340">
        <f>+P50</f>
        <v>750000</v>
      </c>
      <c r="Q51" s="340">
        <f t="shared" si="5"/>
        <v>24625000</v>
      </c>
      <c r="R51" s="329" t="e">
        <f>+O$26*Q51+P51</f>
        <v>#REF!</v>
      </c>
      <c r="S51" s="343">
        <f>+S50</f>
        <v>16583333.333333332</v>
      </c>
      <c r="T51" s="340">
        <f>+T50</f>
        <v>500000</v>
      </c>
      <c r="U51" s="340">
        <f t="shared" si="6"/>
        <v>16083333.333333332</v>
      </c>
      <c r="V51" s="329" t="e">
        <f>+S$26*U51+T51</f>
        <v>#REF!</v>
      </c>
      <c r="W51" s="343">
        <f>+W50</f>
        <v>25750000</v>
      </c>
      <c r="X51" s="340">
        <f>+X50</f>
        <v>750000</v>
      </c>
      <c r="Y51" s="340">
        <f t="shared" si="7"/>
        <v>25000000</v>
      </c>
      <c r="Z51" s="329" t="e">
        <f>+W$26*Y51+X51</f>
        <v>#REF!</v>
      </c>
      <c r="AA51" s="343">
        <f>+AA50</f>
        <v>17095238.095238097</v>
      </c>
      <c r="AB51" s="340">
        <f>+AB50</f>
        <v>571428.57142857148</v>
      </c>
      <c r="AC51" s="340">
        <f t="shared" si="8"/>
        <v>16523809.523809526</v>
      </c>
      <c r="AD51" s="329" t="e">
        <f>+AA$26*AC51+AB51</f>
        <v>#REF!</v>
      </c>
      <c r="AE51" s="343">
        <f>+AE50</f>
        <v>24800000</v>
      </c>
      <c r="AF51" s="340">
        <f>+AF50</f>
        <v>1200000</v>
      </c>
      <c r="AG51" s="340">
        <f t="shared" si="9"/>
        <v>23600000</v>
      </c>
      <c r="AH51" s="329" t="e">
        <f>+AE$26*AG51+AF51</f>
        <v>#REF!</v>
      </c>
      <c r="AI51" s="343">
        <f>+AI50</f>
        <v>17166666.66666666</v>
      </c>
      <c r="AJ51" s="340">
        <f>+AJ50</f>
        <v>666666.66666666663</v>
      </c>
      <c r="AK51" s="340">
        <f t="shared" si="10"/>
        <v>16499999.999999994</v>
      </c>
      <c r="AL51" s="329" t="e">
        <f>+AI$26*AK51+AJ51</f>
        <v>#REF!</v>
      </c>
      <c r="AM51" s="359" t="e">
        <f t="shared" si="1"/>
        <v>#REF!</v>
      </c>
      <c r="AN51" s="342" t="e">
        <f>+AM51</f>
        <v>#REF!</v>
      </c>
      <c r="AO51" s="282"/>
    </row>
    <row r="52" spans="1:41" ht="13">
      <c r="A52" s="284" t="s">
        <v>427</v>
      </c>
      <c r="B52" s="339">
        <f t="shared" si="4"/>
        <v>2015</v>
      </c>
      <c r="C52" s="340">
        <f>+E51</f>
        <v>13666666.666666666</v>
      </c>
      <c r="D52" s="340">
        <f>+C$28</f>
        <v>666666.66666666663</v>
      </c>
      <c r="E52" s="340">
        <f t="shared" si="0"/>
        <v>13000000</v>
      </c>
      <c r="F52" s="329" t="e">
        <f>+C$25*E52+D52</f>
        <v>#REF!</v>
      </c>
      <c r="G52" s="340">
        <f>+I51</f>
        <v>22499999.999999993</v>
      </c>
      <c r="H52" s="340">
        <f>+G$28</f>
        <v>857142.85714285716</v>
      </c>
      <c r="I52" s="340">
        <f t="shared" si="2"/>
        <v>21642857.142857134</v>
      </c>
      <c r="J52" s="329" t="e">
        <f>+G$25*I52+H52</f>
        <v>#REF!</v>
      </c>
      <c r="K52" s="343">
        <f>+M51</f>
        <v>15875000</v>
      </c>
      <c r="L52" s="340">
        <f>+K$28</f>
        <v>500000</v>
      </c>
      <c r="M52" s="340">
        <f t="shared" si="3"/>
        <v>15375000</v>
      </c>
      <c r="N52" s="329" t="e">
        <f>+K$25*M52+L52</f>
        <v>#REF!</v>
      </c>
      <c r="O52" s="343">
        <f>+Q51</f>
        <v>24625000</v>
      </c>
      <c r="P52" s="340">
        <f>+O$28</f>
        <v>750000</v>
      </c>
      <c r="Q52" s="340">
        <f t="shared" si="5"/>
        <v>23875000</v>
      </c>
      <c r="R52" s="329" t="e">
        <f>+O$25*Q52+P52</f>
        <v>#REF!</v>
      </c>
      <c r="S52" s="343">
        <f>+U51</f>
        <v>16083333.333333332</v>
      </c>
      <c r="T52" s="340">
        <f>+S$28</f>
        <v>500000</v>
      </c>
      <c r="U52" s="340">
        <f t="shared" si="6"/>
        <v>15583333.333333332</v>
      </c>
      <c r="V52" s="329" t="e">
        <f>+S$25*U52+T52</f>
        <v>#REF!</v>
      </c>
      <c r="W52" s="343">
        <f>+Y51</f>
        <v>25000000</v>
      </c>
      <c r="X52" s="340">
        <f>+W$28</f>
        <v>750000</v>
      </c>
      <c r="Y52" s="340">
        <f t="shared" si="7"/>
        <v>24250000</v>
      </c>
      <c r="Z52" s="329" t="e">
        <f>+W$25*Y52+X52</f>
        <v>#REF!</v>
      </c>
      <c r="AA52" s="343">
        <f>+AC51</f>
        <v>16523809.523809526</v>
      </c>
      <c r="AB52" s="340">
        <f>+AA$28</f>
        <v>571428.57142857148</v>
      </c>
      <c r="AC52" s="340">
        <f t="shared" si="8"/>
        <v>15952380.952380955</v>
      </c>
      <c r="AD52" s="329" t="e">
        <f>+AA$25*AC52+AB52</f>
        <v>#REF!</v>
      </c>
      <c r="AE52" s="343">
        <f>+AG51</f>
        <v>23600000</v>
      </c>
      <c r="AF52" s="340">
        <f>+AE$28</f>
        <v>1200000</v>
      </c>
      <c r="AG52" s="340">
        <f t="shared" si="9"/>
        <v>22400000</v>
      </c>
      <c r="AH52" s="329" t="e">
        <f>+AE$25*AG52+AF52</f>
        <v>#REF!</v>
      </c>
      <c r="AI52" s="343">
        <f>+AK51</f>
        <v>16499999.999999994</v>
      </c>
      <c r="AJ52" s="340">
        <f>+AI$28</f>
        <v>666666.66666666663</v>
      </c>
      <c r="AK52" s="340">
        <f t="shared" si="10"/>
        <v>15833333.333333328</v>
      </c>
      <c r="AL52" s="329" t="e">
        <f>+AI$25*AK52+AJ52</f>
        <v>#REF!</v>
      </c>
      <c r="AM52" s="359" t="e">
        <f t="shared" si="1"/>
        <v>#REF!</v>
      </c>
      <c r="AN52" s="99"/>
      <c r="AO52" s="341" t="e">
        <f>+AM52</f>
        <v>#REF!</v>
      </c>
    </row>
    <row r="53" spans="1:41" ht="13">
      <c r="A53" s="284" t="s">
        <v>394</v>
      </c>
      <c r="B53" s="339">
        <f t="shared" si="4"/>
        <v>2015</v>
      </c>
      <c r="C53" s="340">
        <f>+C52</f>
        <v>13666666.666666666</v>
      </c>
      <c r="D53" s="340">
        <f>+D52</f>
        <v>666666.66666666663</v>
      </c>
      <c r="E53" s="340">
        <f t="shared" si="0"/>
        <v>13000000</v>
      </c>
      <c r="F53" s="329" t="e">
        <f>+C$26*E53+D53</f>
        <v>#REF!</v>
      </c>
      <c r="G53" s="340">
        <f>+G52</f>
        <v>22499999.999999993</v>
      </c>
      <c r="H53" s="340">
        <f>+H52</f>
        <v>857142.85714285716</v>
      </c>
      <c r="I53" s="340">
        <f t="shared" si="2"/>
        <v>21642857.142857134</v>
      </c>
      <c r="J53" s="329" t="e">
        <f>+G$26*I53+H53</f>
        <v>#REF!</v>
      </c>
      <c r="K53" s="343">
        <f>+K52</f>
        <v>15875000</v>
      </c>
      <c r="L53" s="340">
        <f>+L52</f>
        <v>500000</v>
      </c>
      <c r="M53" s="340">
        <f t="shared" si="3"/>
        <v>15375000</v>
      </c>
      <c r="N53" s="329" t="e">
        <f>+K$26*M53+L53</f>
        <v>#REF!</v>
      </c>
      <c r="O53" s="343">
        <f>+O52</f>
        <v>24625000</v>
      </c>
      <c r="P53" s="340">
        <f>+P52</f>
        <v>750000</v>
      </c>
      <c r="Q53" s="340">
        <f t="shared" si="5"/>
        <v>23875000</v>
      </c>
      <c r="R53" s="329" t="e">
        <f>+O$26*Q53+P53</f>
        <v>#REF!</v>
      </c>
      <c r="S53" s="343">
        <f>+S52</f>
        <v>16083333.333333332</v>
      </c>
      <c r="T53" s="340">
        <f>+T52</f>
        <v>500000</v>
      </c>
      <c r="U53" s="340">
        <f t="shared" si="6"/>
        <v>15583333.333333332</v>
      </c>
      <c r="V53" s="329" t="e">
        <f>+S$26*U53+T53</f>
        <v>#REF!</v>
      </c>
      <c r="W53" s="343">
        <f>+W52</f>
        <v>25000000</v>
      </c>
      <c r="X53" s="340">
        <f>+X52</f>
        <v>750000</v>
      </c>
      <c r="Y53" s="340">
        <f t="shared" si="7"/>
        <v>24250000</v>
      </c>
      <c r="Z53" s="329" t="e">
        <f>+W$26*Y53+X53</f>
        <v>#REF!</v>
      </c>
      <c r="AA53" s="343">
        <f>+AA52</f>
        <v>16523809.523809526</v>
      </c>
      <c r="AB53" s="340">
        <f>+AB52</f>
        <v>571428.57142857148</v>
      </c>
      <c r="AC53" s="340">
        <f t="shared" si="8"/>
        <v>15952380.952380955</v>
      </c>
      <c r="AD53" s="329" t="e">
        <f>+AA$26*AC53+AB53</f>
        <v>#REF!</v>
      </c>
      <c r="AE53" s="343">
        <f>+AE52</f>
        <v>23600000</v>
      </c>
      <c r="AF53" s="340">
        <f>+AF52</f>
        <v>1200000</v>
      </c>
      <c r="AG53" s="340">
        <f t="shared" si="9"/>
        <v>22400000</v>
      </c>
      <c r="AH53" s="329" t="e">
        <f>+AE$26*AG53+AF53</f>
        <v>#REF!</v>
      </c>
      <c r="AI53" s="343">
        <f>+AI52</f>
        <v>16499999.999999994</v>
      </c>
      <c r="AJ53" s="340">
        <f>+AJ52</f>
        <v>666666.66666666663</v>
      </c>
      <c r="AK53" s="340">
        <f t="shared" si="10"/>
        <v>15833333.333333328</v>
      </c>
      <c r="AL53" s="329" t="e">
        <f>+AI$26*AK53+AJ53</f>
        <v>#REF!</v>
      </c>
      <c r="AM53" s="359" t="e">
        <f t="shared" si="1"/>
        <v>#REF!</v>
      </c>
      <c r="AN53" s="342" t="e">
        <f>+AM53</f>
        <v>#REF!</v>
      </c>
      <c r="AO53" s="282"/>
    </row>
    <row r="54" spans="1:41" ht="13">
      <c r="A54" s="284" t="s">
        <v>427</v>
      </c>
      <c r="B54" s="339">
        <f t="shared" si="4"/>
        <v>2016</v>
      </c>
      <c r="C54" s="340">
        <f>+E53</f>
        <v>13000000</v>
      </c>
      <c r="D54" s="340">
        <f>+C$28</f>
        <v>666666.66666666663</v>
      </c>
      <c r="E54" s="340">
        <f t="shared" si="0"/>
        <v>12333333.333333334</v>
      </c>
      <c r="F54" s="329" t="e">
        <f>+C$25*E54+D54</f>
        <v>#REF!</v>
      </c>
      <c r="G54" s="340">
        <f>+I53</f>
        <v>21642857.142857134</v>
      </c>
      <c r="H54" s="340">
        <f>+G$28</f>
        <v>857142.85714285716</v>
      </c>
      <c r="I54" s="340">
        <f t="shared" si="2"/>
        <v>20785714.285714276</v>
      </c>
      <c r="J54" s="329" t="e">
        <f>+G$25*I54+H54</f>
        <v>#REF!</v>
      </c>
      <c r="K54" s="343">
        <f>+M53</f>
        <v>15375000</v>
      </c>
      <c r="L54" s="340">
        <f>+K$28</f>
        <v>500000</v>
      </c>
      <c r="M54" s="340">
        <f t="shared" si="3"/>
        <v>14875000</v>
      </c>
      <c r="N54" s="329" t="e">
        <f>+K$25*M54+L54</f>
        <v>#REF!</v>
      </c>
      <c r="O54" s="343">
        <f>+Q53</f>
        <v>23875000</v>
      </c>
      <c r="P54" s="340">
        <f>+O$28</f>
        <v>750000</v>
      </c>
      <c r="Q54" s="340">
        <f t="shared" si="5"/>
        <v>23125000</v>
      </c>
      <c r="R54" s="329" t="e">
        <f>+O$25*Q54+P54</f>
        <v>#REF!</v>
      </c>
      <c r="S54" s="343">
        <f>+U53</f>
        <v>15583333.333333332</v>
      </c>
      <c r="T54" s="340">
        <f>+S$28</f>
        <v>500000</v>
      </c>
      <c r="U54" s="340">
        <f t="shared" si="6"/>
        <v>15083333.333333332</v>
      </c>
      <c r="V54" s="329" t="e">
        <f>+S$25*U54+T54</f>
        <v>#REF!</v>
      </c>
      <c r="W54" s="343">
        <f>+Y53</f>
        <v>24250000</v>
      </c>
      <c r="X54" s="340">
        <f>+W$28</f>
        <v>750000</v>
      </c>
      <c r="Y54" s="340">
        <f t="shared" si="7"/>
        <v>23500000</v>
      </c>
      <c r="Z54" s="329" t="e">
        <f>+W$25*Y54+X54</f>
        <v>#REF!</v>
      </c>
      <c r="AA54" s="343">
        <f>+AC53</f>
        <v>15952380.952380955</v>
      </c>
      <c r="AB54" s="340">
        <f>+AA$28</f>
        <v>571428.57142857148</v>
      </c>
      <c r="AC54" s="340">
        <f t="shared" si="8"/>
        <v>15380952.380952384</v>
      </c>
      <c r="AD54" s="329" t="e">
        <f>+AA$25*AC54+AB54</f>
        <v>#REF!</v>
      </c>
      <c r="AE54" s="343">
        <f>+AG53</f>
        <v>22400000</v>
      </c>
      <c r="AF54" s="340">
        <f>+AE$28</f>
        <v>1200000</v>
      </c>
      <c r="AG54" s="340">
        <f t="shared" si="9"/>
        <v>21200000</v>
      </c>
      <c r="AH54" s="329" t="e">
        <f>+AE$25*AG54+AF54</f>
        <v>#REF!</v>
      </c>
      <c r="AI54" s="343">
        <f>+AK53</f>
        <v>15833333.333333328</v>
      </c>
      <c r="AJ54" s="340">
        <f>+AI$28</f>
        <v>666666.66666666663</v>
      </c>
      <c r="AK54" s="340">
        <f t="shared" si="10"/>
        <v>15166666.666666662</v>
      </c>
      <c r="AL54" s="329" t="e">
        <f>+AI$25*AK54+AJ54</f>
        <v>#REF!</v>
      </c>
      <c r="AM54" s="359" t="e">
        <f t="shared" si="1"/>
        <v>#REF!</v>
      </c>
      <c r="AN54" s="99"/>
      <c r="AO54" s="341" t="e">
        <f>+AM54</f>
        <v>#REF!</v>
      </c>
    </row>
    <row r="55" spans="1:41" ht="13">
      <c r="A55" s="284" t="s">
        <v>394</v>
      </c>
      <c r="B55" s="339">
        <f t="shared" si="4"/>
        <v>2016</v>
      </c>
      <c r="C55" s="340">
        <f>+C54</f>
        <v>13000000</v>
      </c>
      <c r="D55" s="340">
        <f>+D54</f>
        <v>666666.66666666663</v>
      </c>
      <c r="E55" s="340">
        <f t="shared" si="0"/>
        <v>12333333.333333334</v>
      </c>
      <c r="F55" s="329" t="e">
        <f>+C$26*E55+D55</f>
        <v>#REF!</v>
      </c>
      <c r="G55" s="340">
        <f>+G54</f>
        <v>21642857.142857134</v>
      </c>
      <c r="H55" s="340">
        <f>+H54</f>
        <v>857142.85714285716</v>
      </c>
      <c r="I55" s="340">
        <f t="shared" si="2"/>
        <v>20785714.285714276</v>
      </c>
      <c r="J55" s="329" t="e">
        <f>+G$26*I55+H55</f>
        <v>#REF!</v>
      </c>
      <c r="K55" s="343">
        <f>+K54</f>
        <v>15375000</v>
      </c>
      <c r="L55" s="340">
        <f>+L54</f>
        <v>500000</v>
      </c>
      <c r="M55" s="340">
        <f t="shared" si="3"/>
        <v>14875000</v>
      </c>
      <c r="N55" s="329" t="e">
        <f>+K$26*M55+L55</f>
        <v>#REF!</v>
      </c>
      <c r="O55" s="343">
        <f>+O54</f>
        <v>23875000</v>
      </c>
      <c r="P55" s="340">
        <f>+P54</f>
        <v>750000</v>
      </c>
      <c r="Q55" s="340">
        <f t="shared" si="5"/>
        <v>23125000</v>
      </c>
      <c r="R55" s="329" t="e">
        <f>+O$26*Q55+P55</f>
        <v>#REF!</v>
      </c>
      <c r="S55" s="343">
        <f>+S54</f>
        <v>15583333.333333332</v>
      </c>
      <c r="T55" s="340">
        <f>+T54</f>
        <v>500000</v>
      </c>
      <c r="U55" s="340">
        <f t="shared" si="6"/>
        <v>15083333.333333332</v>
      </c>
      <c r="V55" s="329" t="e">
        <f>+S$26*U55+T55</f>
        <v>#REF!</v>
      </c>
      <c r="W55" s="343">
        <f>+W54</f>
        <v>24250000</v>
      </c>
      <c r="X55" s="340">
        <f>+X54</f>
        <v>750000</v>
      </c>
      <c r="Y55" s="340">
        <f t="shared" si="7"/>
        <v>23500000</v>
      </c>
      <c r="Z55" s="329" t="e">
        <f>+W$26*Y55+X55</f>
        <v>#REF!</v>
      </c>
      <c r="AA55" s="343">
        <f>+AA54</f>
        <v>15952380.952380955</v>
      </c>
      <c r="AB55" s="340">
        <f>+AB54</f>
        <v>571428.57142857148</v>
      </c>
      <c r="AC55" s="340">
        <f t="shared" si="8"/>
        <v>15380952.380952384</v>
      </c>
      <c r="AD55" s="329" t="e">
        <f>+AA$26*AC55+AB55</f>
        <v>#REF!</v>
      </c>
      <c r="AE55" s="343">
        <f>+AE54</f>
        <v>22400000</v>
      </c>
      <c r="AF55" s="340">
        <f>+AF54</f>
        <v>1200000</v>
      </c>
      <c r="AG55" s="340">
        <f t="shared" si="9"/>
        <v>21200000</v>
      </c>
      <c r="AH55" s="329" t="e">
        <f>+AE$26*AG55+AF55</f>
        <v>#REF!</v>
      </c>
      <c r="AI55" s="343">
        <f>+AI54</f>
        <v>15833333.333333328</v>
      </c>
      <c r="AJ55" s="340">
        <f>+AJ54</f>
        <v>666666.66666666663</v>
      </c>
      <c r="AK55" s="340">
        <f t="shared" si="10"/>
        <v>15166666.666666662</v>
      </c>
      <c r="AL55" s="329" t="e">
        <f>+AI$26*AK55+AJ55</f>
        <v>#REF!</v>
      </c>
      <c r="AM55" s="359" t="e">
        <f t="shared" si="1"/>
        <v>#REF!</v>
      </c>
      <c r="AN55" s="342" t="e">
        <f>+AM55</f>
        <v>#REF!</v>
      </c>
      <c r="AO55" s="282"/>
    </row>
    <row r="56" spans="1:41" ht="13">
      <c r="A56" s="284" t="s">
        <v>427</v>
      </c>
      <c r="B56" s="339">
        <f t="shared" si="4"/>
        <v>2017</v>
      </c>
      <c r="C56" s="340">
        <f>+E55</f>
        <v>12333333.333333334</v>
      </c>
      <c r="D56" s="340">
        <f>+C$28</f>
        <v>666666.66666666663</v>
      </c>
      <c r="E56" s="340">
        <f t="shared" si="0"/>
        <v>11666666.666666668</v>
      </c>
      <c r="F56" s="329" t="e">
        <f>+C$25*E56+D56</f>
        <v>#REF!</v>
      </c>
      <c r="G56" s="340">
        <f>+I55</f>
        <v>20785714.285714276</v>
      </c>
      <c r="H56" s="340">
        <f>+G$28</f>
        <v>857142.85714285716</v>
      </c>
      <c r="I56" s="340">
        <f t="shared" si="2"/>
        <v>19928571.428571418</v>
      </c>
      <c r="J56" s="329" t="e">
        <f>+G$25*I56+H56</f>
        <v>#REF!</v>
      </c>
      <c r="K56" s="343">
        <f>+M55</f>
        <v>14875000</v>
      </c>
      <c r="L56" s="340">
        <f>+K$28</f>
        <v>500000</v>
      </c>
      <c r="M56" s="340">
        <f t="shared" si="3"/>
        <v>14375000</v>
      </c>
      <c r="N56" s="329" t="e">
        <f>+K$25*M56+L56</f>
        <v>#REF!</v>
      </c>
      <c r="O56" s="343">
        <f>+Q55</f>
        <v>23125000</v>
      </c>
      <c r="P56" s="340">
        <f>+O$28</f>
        <v>750000</v>
      </c>
      <c r="Q56" s="340">
        <f t="shared" si="5"/>
        <v>22375000</v>
      </c>
      <c r="R56" s="329" t="e">
        <f>+O$25*Q56+P56</f>
        <v>#REF!</v>
      </c>
      <c r="S56" s="343">
        <f>+U55</f>
        <v>15083333.333333332</v>
      </c>
      <c r="T56" s="340">
        <f>+S$28</f>
        <v>500000</v>
      </c>
      <c r="U56" s="340">
        <f t="shared" si="6"/>
        <v>14583333.333333332</v>
      </c>
      <c r="V56" s="329" t="e">
        <f>+S$25*U56+T56</f>
        <v>#REF!</v>
      </c>
      <c r="W56" s="343">
        <f>+Y55</f>
        <v>23500000</v>
      </c>
      <c r="X56" s="340">
        <f>+W$28</f>
        <v>750000</v>
      </c>
      <c r="Y56" s="340">
        <f t="shared" si="7"/>
        <v>22750000</v>
      </c>
      <c r="Z56" s="329" t="e">
        <f>+W$25*Y56+X56</f>
        <v>#REF!</v>
      </c>
      <c r="AA56" s="343">
        <f>+AC55</f>
        <v>15380952.380952384</v>
      </c>
      <c r="AB56" s="340">
        <f>+AA$28</f>
        <v>571428.57142857148</v>
      </c>
      <c r="AC56" s="340">
        <f t="shared" si="8"/>
        <v>14809523.809523813</v>
      </c>
      <c r="AD56" s="329" t="e">
        <f>+AA$25*AC56+AB56</f>
        <v>#REF!</v>
      </c>
      <c r="AE56" s="343">
        <f>+AG55</f>
        <v>21200000</v>
      </c>
      <c r="AF56" s="340">
        <f>+AE$28</f>
        <v>1200000</v>
      </c>
      <c r="AG56" s="340">
        <f t="shared" si="9"/>
        <v>20000000</v>
      </c>
      <c r="AH56" s="329" t="e">
        <f>+AE$25*AG56+AF56</f>
        <v>#REF!</v>
      </c>
      <c r="AI56" s="343">
        <f>+AK55</f>
        <v>15166666.666666662</v>
      </c>
      <c r="AJ56" s="340">
        <f>+AI$28</f>
        <v>666666.66666666663</v>
      </c>
      <c r="AK56" s="340">
        <f t="shared" si="10"/>
        <v>14499999.999999996</v>
      </c>
      <c r="AL56" s="329" t="e">
        <f>+AI$25*AK56+AJ56</f>
        <v>#REF!</v>
      </c>
      <c r="AM56" s="359" t="e">
        <f t="shared" si="1"/>
        <v>#REF!</v>
      </c>
      <c r="AN56" s="99"/>
      <c r="AO56" s="341" t="e">
        <f>+AM56</f>
        <v>#REF!</v>
      </c>
    </row>
    <row r="57" spans="1:41" ht="13">
      <c r="A57" s="284" t="s">
        <v>394</v>
      </c>
      <c r="B57" s="339">
        <f t="shared" si="4"/>
        <v>2017</v>
      </c>
      <c r="C57" s="340">
        <f>+C56</f>
        <v>12333333.333333334</v>
      </c>
      <c r="D57" s="340">
        <f>+D56</f>
        <v>666666.66666666663</v>
      </c>
      <c r="E57" s="340">
        <f t="shared" si="0"/>
        <v>11666666.666666668</v>
      </c>
      <c r="F57" s="329" t="e">
        <f>+C$26*E57+D57</f>
        <v>#REF!</v>
      </c>
      <c r="G57" s="340">
        <f>+G56</f>
        <v>20785714.285714276</v>
      </c>
      <c r="H57" s="340">
        <f>+H56</f>
        <v>857142.85714285716</v>
      </c>
      <c r="I57" s="340">
        <f t="shared" si="2"/>
        <v>19928571.428571418</v>
      </c>
      <c r="J57" s="329" t="e">
        <f>+G$26*I57+H57</f>
        <v>#REF!</v>
      </c>
      <c r="K57" s="343">
        <f>+K56</f>
        <v>14875000</v>
      </c>
      <c r="L57" s="340">
        <f>+L56</f>
        <v>500000</v>
      </c>
      <c r="M57" s="340">
        <f t="shared" si="3"/>
        <v>14375000</v>
      </c>
      <c r="N57" s="329" t="e">
        <f>+K$26*M57+L57</f>
        <v>#REF!</v>
      </c>
      <c r="O57" s="343">
        <f>+O56</f>
        <v>23125000</v>
      </c>
      <c r="P57" s="340">
        <f>+P56</f>
        <v>750000</v>
      </c>
      <c r="Q57" s="340">
        <f t="shared" si="5"/>
        <v>22375000</v>
      </c>
      <c r="R57" s="329" t="e">
        <f>+O$26*Q57+P57</f>
        <v>#REF!</v>
      </c>
      <c r="S57" s="343">
        <f>+S56</f>
        <v>15083333.333333332</v>
      </c>
      <c r="T57" s="340">
        <f>+T56</f>
        <v>500000</v>
      </c>
      <c r="U57" s="340">
        <f t="shared" si="6"/>
        <v>14583333.333333332</v>
      </c>
      <c r="V57" s="329" t="e">
        <f>+S$26*U57+T57</f>
        <v>#REF!</v>
      </c>
      <c r="W57" s="343">
        <f>+W56</f>
        <v>23500000</v>
      </c>
      <c r="X57" s="340">
        <f>+X56</f>
        <v>750000</v>
      </c>
      <c r="Y57" s="340">
        <f t="shared" si="7"/>
        <v>22750000</v>
      </c>
      <c r="Z57" s="329" t="e">
        <f>+W$26*Y57+X57</f>
        <v>#REF!</v>
      </c>
      <c r="AA57" s="343">
        <f>+AA56</f>
        <v>15380952.380952384</v>
      </c>
      <c r="AB57" s="340">
        <f>+AB56</f>
        <v>571428.57142857148</v>
      </c>
      <c r="AC57" s="340">
        <f t="shared" si="8"/>
        <v>14809523.809523813</v>
      </c>
      <c r="AD57" s="329" t="e">
        <f>+AA$26*AC57+AB57</f>
        <v>#REF!</v>
      </c>
      <c r="AE57" s="343">
        <f>+AE56</f>
        <v>21200000</v>
      </c>
      <c r="AF57" s="340">
        <f>+AF56</f>
        <v>1200000</v>
      </c>
      <c r="AG57" s="340">
        <f t="shared" si="9"/>
        <v>20000000</v>
      </c>
      <c r="AH57" s="329" t="e">
        <f>+AE$26*AG57+AF57</f>
        <v>#REF!</v>
      </c>
      <c r="AI57" s="343">
        <f>+AI56</f>
        <v>15166666.666666662</v>
      </c>
      <c r="AJ57" s="340">
        <f>+AJ56</f>
        <v>666666.66666666663</v>
      </c>
      <c r="AK57" s="340">
        <f t="shared" si="10"/>
        <v>14499999.999999996</v>
      </c>
      <c r="AL57" s="329" t="e">
        <f>+AI$26*AK57+AJ57</f>
        <v>#REF!</v>
      </c>
      <c r="AM57" s="359" t="e">
        <f t="shared" si="1"/>
        <v>#REF!</v>
      </c>
      <c r="AN57" s="342" t="e">
        <f>+AM57</f>
        <v>#REF!</v>
      </c>
      <c r="AO57" s="282"/>
    </row>
    <row r="58" spans="1:41" ht="13">
      <c r="A58" s="284" t="s">
        <v>427</v>
      </c>
      <c r="B58" s="339">
        <f t="shared" si="4"/>
        <v>2018</v>
      </c>
      <c r="C58" s="340">
        <f>+E57</f>
        <v>11666666.666666668</v>
      </c>
      <c r="D58" s="340">
        <f>+C$28</f>
        <v>666666.66666666663</v>
      </c>
      <c r="E58" s="340">
        <f t="shared" si="0"/>
        <v>11000000.000000002</v>
      </c>
      <c r="F58" s="329" t="e">
        <f>+C$25*E58+D58</f>
        <v>#REF!</v>
      </c>
      <c r="G58" s="340">
        <f>+I57</f>
        <v>19928571.428571418</v>
      </c>
      <c r="H58" s="340">
        <f>+G$28</f>
        <v>857142.85714285716</v>
      </c>
      <c r="I58" s="340">
        <f t="shared" si="2"/>
        <v>19071428.57142856</v>
      </c>
      <c r="J58" s="329" t="e">
        <f>+G$25*I58+H58</f>
        <v>#REF!</v>
      </c>
      <c r="K58" s="343">
        <f>+M57</f>
        <v>14375000</v>
      </c>
      <c r="L58" s="340">
        <f>+K$28</f>
        <v>500000</v>
      </c>
      <c r="M58" s="340">
        <f t="shared" si="3"/>
        <v>13875000</v>
      </c>
      <c r="N58" s="329" t="e">
        <f>+K$25*M58+L58</f>
        <v>#REF!</v>
      </c>
      <c r="O58" s="343">
        <f>+Q57</f>
        <v>22375000</v>
      </c>
      <c r="P58" s="340">
        <f>+O$28</f>
        <v>750000</v>
      </c>
      <c r="Q58" s="340">
        <f t="shared" si="5"/>
        <v>21625000</v>
      </c>
      <c r="R58" s="329" t="e">
        <f>+O$25*Q58+P58</f>
        <v>#REF!</v>
      </c>
      <c r="S58" s="343">
        <f>+U57</f>
        <v>14583333.333333332</v>
      </c>
      <c r="T58" s="340">
        <f>+S$28</f>
        <v>500000</v>
      </c>
      <c r="U58" s="340">
        <f t="shared" si="6"/>
        <v>14083333.333333332</v>
      </c>
      <c r="V58" s="329" t="e">
        <f>+S$25*U58+T58</f>
        <v>#REF!</v>
      </c>
      <c r="W58" s="343">
        <f>+Y57</f>
        <v>22750000</v>
      </c>
      <c r="X58" s="340">
        <f>+W$28</f>
        <v>750000</v>
      </c>
      <c r="Y58" s="340">
        <f t="shared" si="7"/>
        <v>22000000</v>
      </c>
      <c r="Z58" s="329" t="e">
        <f>+W$25*Y58+X58</f>
        <v>#REF!</v>
      </c>
      <c r="AA58" s="343">
        <f>+AC57</f>
        <v>14809523.809523813</v>
      </c>
      <c r="AB58" s="340">
        <f>+AA$28</f>
        <v>571428.57142857148</v>
      </c>
      <c r="AC58" s="340">
        <f t="shared" si="8"/>
        <v>14238095.238095243</v>
      </c>
      <c r="AD58" s="329" t="e">
        <f>+AA$25*AC58+AB58</f>
        <v>#REF!</v>
      </c>
      <c r="AE58" s="343">
        <f>+AG57</f>
        <v>20000000</v>
      </c>
      <c r="AF58" s="340">
        <f>+AE$28</f>
        <v>1200000</v>
      </c>
      <c r="AG58" s="340">
        <f t="shared" si="9"/>
        <v>18800000</v>
      </c>
      <c r="AH58" s="329" t="e">
        <f>+AE$25*AG58+AF58</f>
        <v>#REF!</v>
      </c>
      <c r="AI58" s="343">
        <f>+AK57</f>
        <v>14499999.999999996</v>
      </c>
      <c r="AJ58" s="340">
        <f>+AI$28</f>
        <v>666666.66666666663</v>
      </c>
      <c r="AK58" s="340">
        <f t="shared" si="10"/>
        <v>13833333.33333333</v>
      </c>
      <c r="AL58" s="329" t="e">
        <f>+AI$25*AK58+AJ58</f>
        <v>#REF!</v>
      </c>
      <c r="AM58" s="359" t="e">
        <f t="shared" si="1"/>
        <v>#REF!</v>
      </c>
      <c r="AN58" s="99"/>
      <c r="AO58" s="341" t="e">
        <f>+AM58</f>
        <v>#REF!</v>
      </c>
    </row>
    <row r="59" spans="1:41" ht="13">
      <c r="A59" s="284" t="s">
        <v>394</v>
      </c>
      <c r="B59" s="339">
        <f t="shared" si="4"/>
        <v>2018</v>
      </c>
      <c r="C59" s="340">
        <f>+C58</f>
        <v>11666666.666666668</v>
      </c>
      <c r="D59" s="340">
        <f>+D58</f>
        <v>666666.66666666663</v>
      </c>
      <c r="E59" s="340">
        <f t="shared" si="0"/>
        <v>11000000.000000002</v>
      </c>
      <c r="F59" s="329" t="e">
        <f>+C$26*E59+D59</f>
        <v>#REF!</v>
      </c>
      <c r="G59" s="340">
        <f>+G58</f>
        <v>19928571.428571418</v>
      </c>
      <c r="H59" s="340">
        <f>+H58</f>
        <v>857142.85714285716</v>
      </c>
      <c r="I59" s="340">
        <f t="shared" si="2"/>
        <v>19071428.57142856</v>
      </c>
      <c r="J59" s="329" t="e">
        <f>+G$26*I59+H59</f>
        <v>#REF!</v>
      </c>
      <c r="K59" s="343">
        <f>+K58</f>
        <v>14375000</v>
      </c>
      <c r="L59" s="340">
        <f>+L58</f>
        <v>500000</v>
      </c>
      <c r="M59" s="340">
        <f t="shared" si="3"/>
        <v>13875000</v>
      </c>
      <c r="N59" s="329" t="e">
        <f>+K$26*M59+L59</f>
        <v>#REF!</v>
      </c>
      <c r="O59" s="343">
        <f>+O58</f>
        <v>22375000</v>
      </c>
      <c r="P59" s="340">
        <f>+P58</f>
        <v>750000</v>
      </c>
      <c r="Q59" s="340">
        <f t="shared" si="5"/>
        <v>21625000</v>
      </c>
      <c r="R59" s="329" t="e">
        <f>+O$26*Q59+P59</f>
        <v>#REF!</v>
      </c>
      <c r="S59" s="343">
        <f>+S58</f>
        <v>14583333.333333332</v>
      </c>
      <c r="T59" s="340">
        <f>+T58</f>
        <v>500000</v>
      </c>
      <c r="U59" s="340">
        <f t="shared" si="6"/>
        <v>14083333.333333332</v>
      </c>
      <c r="V59" s="329" t="e">
        <f>+S$26*U59+T59</f>
        <v>#REF!</v>
      </c>
      <c r="W59" s="343">
        <f>+W58</f>
        <v>22750000</v>
      </c>
      <c r="X59" s="340">
        <f>+X58</f>
        <v>750000</v>
      </c>
      <c r="Y59" s="340">
        <f t="shared" si="7"/>
        <v>22000000</v>
      </c>
      <c r="Z59" s="329" t="e">
        <f>+W$26*Y59+X59</f>
        <v>#REF!</v>
      </c>
      <c r="AA59" s="343">
        <f>+AA58</f>
        <v>14809523.809523813</v>
      </c>
      <c r="AB59" s="340">
        <f>+AB58</f>
        <v>571428.57142857148</v>
      </c>
      <c r="AC59" s="340">
        <f t="shared" si="8"/>
        <v>14238095.238095243</v>
      </c>
      <c r="AD59" s="329" t="e">
        <f>+AA$26*AC59+AB59</f>
        <v>#REF!</v>
      </c>
      <c r="AE59" s="343">
        <f>+AE58</f>
        <v>20000000</v>
      </c>
      <c r="AF59" s="340">
        <f>+AF58</f>
        <v>1200000</v>
      </c>
      <c r="AG59" s="340">
        <f t="shared" si="9"/>
        <v>18800000</v>
      </c>
      <c r="AH59" s="329" t="e">
        <f>+AE$26*AG59+AF59</f>
        <v>#REF!</v>
      </c>
      <c r="AI59" s="343">
        <f>+AI58</f>
        <v>14499999.999999996</v>
      </c>
      <c r="AJ59" s="340">
        <f>+AJ58</f>
        <v>666666.66666666663</v>
      </c>
      <c r="AK59" s="340">
        <f t="shared" si="10"/>
        <v>13833333.33333333</v>
      </c>
      <c r="AL59" s="329" t="e">
        <f>+AI$26*AK59+AJ59</f>
        <v>#REF!</v>
      </c>
      <c r="AM59" s="359" t="e">
        <f t="shared" si="1"/>
        <v>#REF!</v>
      </c>
      <c r="AN59" s="342" t="e">
        <f>+AM59</f>
        <v>#REF!</v>
      </c>
      <c r="AO59" s="282"/>
    </row>
    <row r="60" spans="1:41" ht="13">
      <c r="A60" s="284" t="s">
        <v>427</v>
      </c>
      <c r="B60" s="339">
        <f t="shared" si="4"/>
        <v>2019</v>
      </c>
      <c r="C60" s="340">
        <f>+E59</f>
        <v>11000000.000000002</v>
      </c>
      <c r="D60" s="340">
        <f>+C$28</f>
        <v>666666.66666666663</v>
      </c>
      <c r="E60" s="340">
        <f t="shared" si="0"/>
        <v>10333333.333333336</v>
      </c>
      <c r="F60" s="329" t="e">
        <f>+C$25*E60+D60</f>
        <v>#REF!</v>
      </c>
      <c r="G60" s="340">
        <f>+I59</f>
        <v>19071428.57142856</v>
      </c>
      <c r="H60" s="340">
        <f>+G$28</f>
        <v>857142.85714285716</v>
      </c>
      <c r="I60" s="340">
        <f t="shared" si="2"/>
        <v>18214285.714285702</v>
      </c>
      <c r="J60" s="329" t="e">
        <f>+G$25*I60+H60</f>
        <v>#REF!</v>
      </c>
      <c r="K60" s="343">
        <f>+M59</f>
        <v>13875000</v>
      </c>
      <c r="L60" s="340">
        <f>+K$28</f>
        <v>500000</v>
      </c>
      <c r="M60" s="340">
        <f t="shared" si="3"/>
        <v>13375000</v>
      </c>
      <c r="N60" s="329" t="e">
        <f>+K$25*M60+L60</f>
        <v>#REF!</v>
      </c>
      <c r="O60" s="343">
        <f>+Q59</f>
        <v>21625000</v>
      </c>
      <c r="P60" s="340">
        <f>+O$28</f>
        <v>750000</v>
      </c>
      <c r="Q60" s="340">
        <f t="shared" si="5"/>
        <v>20875000</v>
      </c>
      <c r="R60" s="329" t="e">
        <f>+O$25*Q60+P60</f>
        <v>#REF!</v>
      </c>
      <c r="S60" s="343">
        <f>+U59</f>
        <v>14083333.333333332</v>
      </c>
      <c r="T60" s="340">
        <f>+S$28</f>
        <v>500000</v>
      </c>
      <c r="U60" s="340">
        <f t="shared" si="6"/>
        <v>13583333.333333332</v>
      </c>
      <c r="V60" s="329" t="e">
        <f>+S$25*U60+T60</f>
        <v>#REF!</v>
      </c>
      <c r="W60" s="343">
        <f>+Y59</f>
        <v>22000000</v>
      </c>
      <c r="X60" s="340">
        <f>+W$28</f>
        <v>750000</v>
      </c>
      <c r="Y60" s="340">
        <f t="shared" si="7"/>
        <v>21250000</v>
      </c>
      <c r="Z60" s="329" t="e">
        <f>+W$25*Y60+X60</f>
        <v>#REF!</v>
      </c>
      <c r="AA60" s="343">
        <f>+AC59</f>
        <v>14238095.238095243</v>
      </c>
      <c r="AB60" s="340">
        <f>+AA$28</f>
        <v>571428.57142857148</v>
      </c>
      <c r="AC60" s="340">
        <f t="shared" si="8"/>
        <v>13666666.666666672</v>
      </c>
      <c r="AD60" s="329" t="e">
        <f>+AA$25*AC60+AB60</f>
        <v>#REF!</v>
      </c>
      <c r="AE60" s="343">
        <f>+AG59</f>
        <v>18800000</v>
      </c>
      <c r="AF60" s="340">
        <f>+AE$28</f>
        <v>1200000</v>
      </c>
      <c r="AG60" s="340">
        <f t="shared" si="9"/>
        <v>17600000</v>
      </c>
      <c r="AH60" s="329" t="e">
        <f>+AE$25*AG60+AF60</f>
        <v>#REF!</v>
      </c>
      <c r="AI60" s="343">
        <f>+AK59</f>
        <v>13833333.33333333</v>
      </c>
      <c r="AJ60" s="340">
        <f>+AI$28</f>
        <v>666666.66666666663</v>
      </c>
      <c r="AK60" s="340">
        <f t="shared" si="10"/>
        <v>13166666.666666664</v>
      </c>
      <c r="AL60" s="329" t="e">
        <f>+AI$25*AK60+AJ60</f>
        <v>#REF!</v>
      </c>
      <c r="AM60" s="359" t="e">
        <f t="shared" si="1"/>
        <v>#REF!</v>
      </c>
      <c r="AN60" s="99"/>
      <c r="AO60" s="341" t="e">
        <f>+AM60</f>
        <v>#REF!</v>
      </c>
    </row>
    <row r="61" spans="1:41" ht="13">
      <c r="A61" s="284" t="s">
        <v>394</v>
      </c>
      <c r="B61" s="339">
        <f t="shared" si="4"/>
        <v>2019</v>
      </c>
      <c r="C61" s="340">
        <f>+C60</f>
        <v>11000000.000000002</v>
      </c>
      <c r="D61" s="340">
        <f>+D60</f>
        <v>666666.66666666663</v>
      </c>
      <c r="E61" s="340">
        <f t="shared" si="0"/>
        <v>10333333.333333336</v>
      </c>
      <c r="F61" s="329" t="e">
        <f>+C$26*E61+D61</f>
        <v>#REF!</v>
      </c>
      <c r="G61" s="340">
        <f>+G60</f>
        <v>19071428.57142856</v>
      </c>
      <c r="H61" s="340">
        <f>+H60</f>
        <v>857142.85714285716</v>
      </c>
      <c r="I61" s="340">
        <f t="shared" si="2"/>
        <v>18214285.714285702</v>
      </c>
      <c r="J61" s="329" t="e">
        <f>+G$26*I61+H61</f>
        <v>#REF!</v>
      </c>
      <c r="K61" s="343">
        <f>+K60</f>
        <v>13875000</v>
      </c>
      <c r="L61" s="340">
        <f>+L60</f>
        <v>500000</v>
      </c>
      <c r="M61" s="340">
        <f t="shared" si="3"/>
        <v>13375000</v>
      </c>
      <c r="N61" s="329" t="e">
        <f>+K$26*M61+L61</f>
        <v>#REF!</v>
      </c>
      <c r="O61" s="343">
        <f>+O60</f>
        <v>21625000</v>
      </c>
      <c r="P61" s="340">
        <f>+P60</f>
        <v>750000</v>
      </c>
      <c r="Q61" s="340">
        <f t="shared" si="5"/>
        <v>20875000</v>
      </c>
      <c r="R61" s="329" t="e">
        <f>+O$26*Q61+P61</f>
        <v>#REF!</v>
      </c>
      <c r="S61" s="343">
        <f>+S60</f>
        <v>14083333.333333332</v>
      </c>
      <c r="T61" s="340">
        <f>+T60</f>
        <v>500000</v>
      </c>
      <c r="U61" s="340">
        <f t="shared" si="6"/>
        <v>13583333.333333332</v>
      </c>
      <c r="V61" s="329" t="e">
        <f>+S$26*U61+T61</f>
        <v>#REF!</v>
      </c>
      <c r="W61" s="343">
        <f>+W60</f>
        <v>22000000</v>
      </c>
      <c r="X61" s="340">
        <f>+X60</f>
        <v>750000</v>
      </c>
      <c r="Y61" s="340">
        <f t="shared" si="7"/>
        <v>21250000</v>
      </c>
      <c r="Z61" s="329" t="e">
        <f>+W$26*Y61+X61</f>
        <v>#REF!</v>
      </c>
      <c r="AA61" s="343">
        <f>+AA60</f>
        <v>14238095.238095243</v>
      </c>
      <c r="AB61" s="340">
        <f>+AB60</f>
        <v>571428.57142857148</v>
      </c>
      <c r="AC61" s="340">
        <f t="shared" si="8"/>
        <v>13666666.666666672</v>
      </c>
      <c r="AD61" s="329" t="e">
        <f>+AA$26*AC61+AB61</f>
        <v>#REF!</v>
      </c>
      <c r="AE61" s="343">
        <f>+AE60</f>
        <v>18800000</v>
      </c>
      <c r="AF61" s="340">
        <f>+AF60</f>
        <v>1200000</v>
      </c>
      <c r="AG61" s="340">
        <f t="shared" si="9"/>
        <v>17600000</v>
      </c>
      <c r="AH61" s="329" t="e">
        <f>+AE$26*AG61+AF61</f>
        <v>#REF!</v>
      </c>
      <c r="AI61" s="343">
        <f>+AI60</f>
        <v>13833333.33333333</v>
      </c>
      <c r="AJ61" s="340">
        <f>+AJ60</f>
        <v>666666.66666666663</v>
      </c>
      <c r="AK61" s="340">
        <f t="shared" si="10"/>
        <v>13166666.666666664</v>
      </c>
      <c r="AL61" s="329" t="e">
        <f>+AI$26*AK61+AJ61</f>
        <v>#REF!</v>
      </c>
      <c r="AM61" s="359" t="e">
        <f t="shared" si="1"/>
        <v>#REF!</v>
      </c>
      <c r="AN61" s="342" t="e">
        <f>+AM61</f>
        <v>#REF!</v>
      </c>
      <c r="AO61" s="282"/>
    </row>
    <row r="62" spans="1:41" ht="13">
      <c r="A62" s="284" t="s">
        <v>427</v>
      </c>
      <c r="B62" s="339">
        <f t="shared" si="4"/>
        <v>2020</v>
      </c>
      <c r="C62" s="340">
        <f>+E61</f>
        <v>10333333.333333336</v>
      </c>
      <c r="D62" s="340">
        <f>+C$28</f>
        <v>666666.66666666663</v>
      </c>
      <c r="E62" s="340">
        <f t="shared" si="0"/>
        <v>9666666.6666666698</v>
      </c>
      <c r="F62" s="329" t="e">
        <f>+C$25*E62+D62</f>
        <v>#REF!</v>
      </c>
      <c r="G62" s="340">
        <f>+I61</f>
        <v>18214285.714285702</v>
      </c>
      <c r="H62" s="340">
        <f>+G$28</f>
        <v>857142.85714285716</v>
      </c>
      <c r="I62" s="340">
        <f t="shared" si="2"/>
        <v>17357142.857142843</v>
      </c>
      <c r="J62" s="329" t="e">
        <f>+G$25*I62+H62</f>
        <v>#REF!</v>
      </c>
      <c r="K62" s="343">
        <f>+M61</f>
        <v>13375000</v>
      </c>
      <c r="L62" s="340">
        <f>+K$28</f>
        <v>500000</v>
      </c>
      <c r="M62" s="340">
        <f t="shared" si="3"/>
        <v>12875000</v>
      </c>
      <c r="N62" s="329" t="e">
        <f>+K$25*M62+L62</f>
        <v>#REF!</v>
      </c>
      <c r="O62" s="343">
        <f>+Q61</f>
        <v>20875000</v>
      </c>
      <c r="P62" s="340">
        <f>+O$28</f>
        <v>750000</v>
      </c>
      <c r="Q62" s="340">
        <f t="shared" si="5"/>
        <v>20125000</v>
      </c>
      <c r="R62" s="329" t="e">
        <f>+O$25*Q62+P62</f>
        <v>#REF!</v>
      </c>
      <c r="S62" s="343">
        <f>+U61</f>
        <v>13583333.333333332</v>
      </c>
      <c r="T62" s="340">
        <f>+S$28</f>
        <v>500000</v>
      </c>
      <c r="U62" s="340">
        <f t="shared" si="6"/>
        <v>13083333.333333332</v>
      </c>
      <c r="V62" s="329" t="e">
        <f>+S$25*U62+T62</f>
        <v>#REF!</v>
      </c>
      <c r="W62" s="343">
        <f>+Y61</f>
        <v>21250000</v>
      </c>
      <c r="X62" s="340">
        <f>+W$28</f>
        <v>750000</v>
      </c>
      <c r="Y62" s="340">
        <f t="shared" si="7"/>
        <v>20500000</v>
      </c>
      <c r="Z62" s="329" t="e">
        <f>+W$25*Y62+X62</f>
        <v>#REF!</v>
      </c>
      <c r="AA62" s="343">
        <f>+AC61</f>
        <v>13666666.666666672</v>
      </c>
      <c r="AB62" s="340">
        <f>+AA$28</f>
        <v>571428.57142857148</v>
      </c>
      <c r="AC62" s="340">
        <f t="shared" si="8"/>
        <v>13095238.095238101</v>
      </c>
      <c r="AD62" s="329" t="e">
        <f>+AA$25*AC62+AB62</f>
        <v>#REF!</v>
      </c>
      <c r="AE62" s="343">
        <f>+AG61</f>
        <v>17600000</v>
      </c>
      <c r="AF62" s="340">
        <f>+AE$28</f>
        <v>1200000</v>
      </c>
      <c r="AG62" s="340">
        <f t="shared" si="9"/>
        <v>16400000</v>
      </c>
      <c r="AH62" s="329" t="e">
        <f>+AE$25*AG62+AF62</f>
        <v>#REF!</v>
      </c>
      <c r="AI62" s="343">
        <f>+AK61</f>
        <v>13166666.666666664</v>
      </c>
      <c r="AJ62" s="340">
        <f>+AI$28</f>
        <v>666666.66666666663</v>
      </c>
      <c r="AK62" s="340">
        <f t="shared" si="10"/>
        <v>12499999.999999998</v>
      </c>
      <c r="AL62" s="329" t="e">
        <f>+AI$25*AK62+AJ62</f>
        <v>#REF!</v>
      </c>
      <c r="AM62" s="359" t="e">
        <f t="shared" si="1"/>
        <v>#REF!</v>
      </c>
      <c r="AN62" s="99"/>
      <c r="AO62" s="341" t="e">
        <f>+AM62</f>
        <v>#REF!</v>
      </c>
    </row>
    <row r="63" spans="1:41" ht="13">
      <c r="A63" s="284" t="s">
        <v>394</v>
      </c>
      <c r="B63" s="339">
        <f t="shared" si="4"/>
        <v>2020</v>
      </c>
      <c r="C63" s="340">
        <f>+C62</f>
        <v>10333333.333333336</v>
      </c>
      <c r="D63" s="340">
        <f>+D62</f>
        <v>666666.66666666663</v>
      </c>
      <c r="E63" s="340">
        <f t="shared" si="0"/>
        <v>9666666.6666666698</v>
      </c>
      <c r="F63" s="329" t="e">
        <f>+C$26*E63+D63</f>
        <v>#REF!</v>
      </c>
      <c r="G63" s="340">
        <f>+G62</f>
        <v>18214285.714285702</v>
      </c>
      <c r="H63" s="340">
        <f>+H62</f>
        <v>857142.85714285716</v>
      </c>
      <c r="I63" s="340">
        <f t="shared" si="2"/>
        <v>17357142.857142843</v>
      </c>
      <c r="J63" s="329" t="e">
        <f>+G$26*I63+H63</f>
        <v>#REF!</v>
      </c>
      <c r="K63" s="343">
        <f>+K62</f>
        <v>13375000</v>
      </c>
      <c r="L63" s="340">
        <f>+L62</f>
        <v>500000</v>
      </c>
      <c r="M63" s="340">
        <f t="shared" si="3"/>
        <v>12875000</v>
      </c>
      <c r="N63" s="329" t="e">
        <f>+K$26*M63+L63</f>
        <v>#REF!</v>
      </c>
      <c r="O63" s="343">
        <f>+O62</f>
        <v>20875000</v>
      </c>
      <c r="P63" s="340">
        <f>+P62</f>
        <v>750000</v>
      </c>
      <c r="Q63" s="340">
        <f t="shared" si="5"/>
        <v>20125000</v>
      </c>
      <c r="R63" s="329" t="e">
        <f>+O$26*Q63+P63</f>
        <v>#REF!</v>
      </c>
      <c r="S63" s="343">
        <f>+S62</f>
        <v>13583333.333333332</v>
      </c>
      <c r="T63" s="340">
        <f>+T62</f>
        <v>500000</v>
      </c>
      <c r="U63" s="340">
        <f t="shared" si="6"/>
        <v>13083333.333333332</v>
      </c>
      <c r="V63" s="329" t="e">
        <f>+S$26*U63+T63</f>
        <v>#REF!</v>
      </c>
      <c r="W63" s="343">
        <f>+W62</f>
        <v>21250000</v>
      </c>
      <c r="X63" s="340">
        <f>+X62</f>
        <v>750000</v>
      </c>
      <c r="Y63" s="340">
        <f t="shared" si="7"/>
        <v>20500000</v>
      </c>
      <c r="Z63" s="329" t="e">
        <f>+W$26*Y63+X63</f>
        <v>#REF!</v>
      </c>
      <c r="AA63" s="343">
        <f>+AA62</f>
        <v>13666666.666666672</v>
      </c>
      <c r="AB63" s="340">
        <f>+AB62</f>
        <v>571428.57142857148</v>
      </c>
      <c r="AC63" s="340">
        <f t="shared" si="8"/>
        <v>13095238.095238101</v>
      </c>
      <c r="AD63" s="329" t="e">
        <f>+AA$26*AC63+AB63</f>
        <v>#REF!</v>
      </c>
      <c r="AE63" s="343">
        <f>+AE62</f>
        <v>17600000</v>
      </c>
      <c r="AF63" s="340">
        <f>+AF62</f>
        <v>1200000</v>
      </c>
      <c r="AG63" s="340">
        <f t="shared" si="9"/>
        <v>16400000</v>
      </c>
      <c r="AH63" s="329" t="e">
        <f>+AE$26*AG63+AF63</f>
        <v>#REF!</v>
      </c>
      <c r="AI63" s="343">
        <f>+AI62</f>
        <v>13166666.666666664</v>
      </c>
      <c r="AJ63" s="340">
        <f>+AJ62</f>
        <v>666666.66666666663</v>
      </c>
      <c r="AK63" s="340">
        <f t="shared" si="10"/>
        <v>12499999.999999998</v>
      </c>
      <c r="AL63" s="329" t="e">
        <f>+AI$26*AK63+AJ63</f>
        <v>#REF!</v>
      </c>
      <c r="AM63" s="359" t="e">
        <f t="shared" si="1"/>
        <v>#REF!</v>
      </c>
      <c r="AN63" s="342" t="e">
        <f>+AM63</f>
        <v>#REF!</v>
      </c>
      <c r="AO63" s="282"/>
    </row>
    <row r="64" spans="1:41" ht="13">
      <c r="A64" s="284" t="s">
        <v>427</v>
      </c>
      <c r="B64" s="339">
        <f t="shared" si="4"/>
        <v>2021</v>
      </c>
      <c r="C64" s="340">
        <f>+E63</f>
        <v>9666666.6666666698</v>
      </c>
      <c r="D64" s="340">
        <f>+C$28</f>
        <v>666666.66666666663</v>
      </c>
      <c r="E64" s="340">
        <f t="shared" ref="E64:E71" si="11">+C64-D64</f>
        <v>9000000.0000000037</v>
      </c>
      <c r="F64" s="329" t="e">
        <f>+C$25*E64+D64</f>
        <v>#REF!</v>
      </c>
      <c r="G64" s="340">
        <f>+I63</f>
        <v>17357142.857142843</v>
      </c>
      <c r="H64" s="340">
        <f>+G$28</f>
        <v>857142.85714285716</v>
      </c>
      <c r="I64" s="340">
        <f t="shared" si="2"/>
        <v>16499999.999999987</v>
      </c>
      <c r="J64" s="329" t="e">
        <f>+G$25*I64+H64</f>
        <v>#REF!</v>
      </c>
      <c r="K64" s="343">
        <f>+M63</f>
        <v>12875000</v>
      </c>
      <c r="L64" s="340">
        <f>+K$28</f>
        <v>500000</v>
      </c>
      <c r="M64" s="340">
        <f t="shared" si="3"/>
        <v>12375000</v>
      </c>
      <c r="N64" s="329" t="e">
        <f>+K$25*M64+L64</f>
        <v>#REF!</v>
      </c>
      <c r="O64" s="343">
        <f>+Q63</f>
        <v>20125000</v>
      </c>
      <c r="P64" s="340">
        <f>+O$28</f>
        <v>750000</v>
      </c>
      <c r="Q64" s="340">
        <f t="shared" si="5"/>
        <v>19375000</v>
      </c>
      <c r="R64" s="329" t="e">
        <f>+O$25*Q64+P64</f>
        <v>#REF!</v>
      </c>
      <c r="S64" s="343">
        <f>+U63</f>
        <v>13083333.333333332</v>
      </c>
      <c r="T64" s="340">
        <f>+S$28</f>
        <v>500000</v>
      </c>
      <c r="U64" s="340">
        <f t="shared" si="6"/>
        <v>12583333.333333332</v>
      </c>
      <c r="V64" s="329" t="e">
        <f>+S$25*U64+T64</f>
        <v>#REF!</v>
      </c>
      <c r="W64" s="343">
        <f>+Y63</f>
        <v>20500000</v>
      </c>
      <c r="X64" s="340">
        <f>+W$28</f>
        <v>750000</v>
      </c>
      <c r="Y64" s="340">
        <f t="shared" si="7"/>
        <v>19750000</v>
      </c>
      <c r="Z64" s="329" t="e">
        <f>+W$25*Y64+X64</f>
        <v>#REF!</v>
      </c>
      <c r="AA64" s="343">
        <f>+AC63</f>
        <v>13095238.095238101</v>
      </c>
      <c r="AB64" s="340">
        <f>+AA$28</f>
        <v>571428.57142857148</v>
      </c>
      <c r="AC64" s="340">
        <f t="shared" si="8"/>
        <v>12523809.52380953</v>
      </c>
      <c r="AD64" s="329" t="e">
        <f>+AA$25*AC64+AB64</f>
        <v>#REF!</v>
      </c>
      <c r="AE64" s="343">
        <f>+AG63</f>
        <v>16400000</v>
      </c>
      <c r="AF64" s="340">
        <f>+AE$28</f>
        <v>1200000</v>
      </c>
      <c r="AG64" s="340">
        <f t="shared" si="9"/>
        <v>15200000</v>
      </c>
      <c r="AH64" s="329" t="e">
        <f>+AE$25*AG64+AF64</f>
        <v>#REF!</v>
      </c>
      <c r="AI64" s="343">
        <f>+AK63</f>
        <v>12499999.999999998</v>
      </c>
      <c r="AJ64" s="340">
        <f>+AI$28</f>
        <v>666666.66666666663</v>
      </c>
      <c r="AK64" s="340">
        <f t="shared" si="10"/>
        <v>11833333.333333332</v>
      </c>
      <c r="AL64" s="329" t="e">
        <f>+AI$25*AK64+AJ64</f>
        <v>#REF!</v>
      </c>
      <c r="AM64" s="359" t="e">
        <f t="shared" si="1"/>
        <v>#REF!</v>
      </c>
      <c r="AN64" s="99"/>
      <c r="AO64" s="341" t="e">
        <f>+AM64</f>
        <v>#REF!</v>
      </c>
    </row>
    <row r="65" spans="1:41" ht="13">
      <c r="A65" s="284" t="s">
        <v>394</v>
      </c>
      <c r="B65" s="339">
        <f t="shared" si="4"/>
        <v>2021</v>
      </c>
      <c r="C65" s="340">
        <f>+C64</f>
        <v>9666666.6666666698</v>
      </c>
      <c r="D65" s="340">
        <f>+D64</f>
        <v>666666.66666666663</v>
      </c>
      <c r="E65" s="340">
        <f t="shared" si="11"/>
        <v>9000000.0000000037</v>
      </c>
      <c r="F65" s="329" t="e">
        <f>+C$26*E65+D65</f>
        <v>#REF!</v>
      </c>
      <c r="G65" s="340">
        <f>+G64</f>
        <v>17357142.857142843</v>
      </c>
      <c r="H65" s="340">
        <f>+H64</f>
        <v>857142.85714285716</v>
      </c>
      <c r="I65" s="340">
        <f t="shared" si="2"/>
        <v>16499999.999999987</v>
      </c>
      <c r="J65" s="329" t="e">
        <f>+G$26*I65+H65</f>
        <v>#REF!</v>
      </c>
      <c r="K65" s="343">
        <f>+K64</f>
        <v>12875000</v>
      </c>
      <c r="L65" s="340">
        <f>+L64</f>
        <v>500000</v>
      </c>
      <c r="M65" s="340">
        <f t="shared" si="3"/>
        <v>12375000</v>
      </c>
      <c r="N65" s="329" t="e">
        <f>+K$26*M65+L65</f>
        <v>#REF!</v>
      </c>
      <c r="O65" s="343">
        <f>+O64</f>
        <v>20125000</v>
      </c>
      <c r="P65" s="340">
        <f>+P64</f>
        <v>750000</v>
      </c>
      <c r="Q65" s="340">
        <f t="shared" si="5"/>
        <v>19375000</v>
      </c>
      <c r="R65" s="329" t="e">
        <f>+O$26*Q65+P65</f>
        <v>#REF!</v>
      </c>
      <c r="S65" s="343">
        <f>+S64</f>
        <v>13083333.333333332</v>
      </c>
      <c r="T65" s="340">
        <f>+T64</f>
        <v>500000</v>
      </c>
      <c r="U65" s="340">
        <f t="shared" si="6"/>
        <v>12583333.333333332</v>
      </c>
      <c r="V65" s="329" t="e">
        <f>+S$26*U65+T65</f>
        <v>#REF!</v>
      </c>
      <c r="W65" s="343">
        <f>+W64</f>
        <v>20500000</v>
      </c>
      <c r="X65" s="340">
        <f>+X64</f>
        <v>750000</v>
      </c>
      <c r="Y65" s="340">
        <f t="shared" si="7"/>
        <v>19750000</v>
      </c>
      <c r="Z65" s="329" t="e">
        <f>+W$26*Y65+X65</f>
        <v>#REF!</v>
      </c>
      <c r="AA65" s="343">
        <f>+AA64</f>
        <v>13095238.095238101</v>
      </c>
      <c r="AB65" s="340">
        <f>+AB64</f>
        <v>571428.57142857148</v>
      </c>
      <c r="AC65" s="340">
        <f t="shared" si="8"/>
        <v>12523809.52380953</v>
      </c>
      <c r="AD65" s="329" t="e">
        <f>+AA$26*AC65+AB65</f>
        <v>#REF!</v>
      </c>
      <c r="AE65" s="343">
        <f>+AE64</f>
        <v>16400000</v>
      </c>
      <c r="AF65" s="340">
        <f>+AF64</f>
        <v>1200000</v>
      </c>
      <c r="AG65" s="340">
        <f t="shared" si="9"/>
        <v>15200000</v>
      </c>
      <c r="AH65" s="329" t="e">
        <f>+AE$26*AG65+AF65</f>
        <v>#REF!</v>
      </c>
      <c r="AI65" s="343">
        <f>+AI64</f>
        <v>12499999.999999998</v>
      </c>
      <c r="AJ65" s="340">
        <f>+AJ64</f>
        <v>666666.66666666663</v>
      </c>
      <c r="AK65" s="340">
        <f t="shared" si="10"/>
        <v>11833333.333333332</v>
      </c>
      <c r="AL65" s="329" t="e">
        <f>+AI$26*AK65+AJ65</f>
        <v>#REF!</v>
      </c>
      <c r="AM65" s="359" t="e">
        <f t="shared" si="1"/>
        <v>#REF!</v>
      </c>
      <c r="AN65" s="342" t="e">
        <f>+AM65</f>
        <v>#REF!</v>
      </c>
      <c r="AO65" s="282"/>
    </row>
    <row r="66" spans="1:41" ht="13">
      <c r="A66" s="284" t="s">
        <v>427</v>
      </c>
      <c r="B66" s="339">
        <f t="shared" si="4"/>
        <v>2022</v>
      </c>
      <c r="C66" s="340">
        <f>+E65</f>
        <v>9000000.0000000037</v>
      </c>
      <c r="D66" s="340">
        <f>+C$28</f>
        <v>666666.66666666663</v>
      </c>
      <c r="E66" s="340">
        <f t="shared" si="11"/>
        <v>8333333.3333333367</v>
      </c>
      <c r="F66" s="329" t="e">
        <f>+C$25*E66+D66</f>
        <v>#REF!</v>
      </c>
      <c r="G66" s="340">
        <f>+I65</f>
        <v>16499999.999999987</v>
      </c>
      <c r="H66" s="340">
        <f>+G$28</f>
        <v>857142.85714285716</v>
      </c>
      <c r="I66" s="340">
        <f t="shared" ref="I66:I71" si="12">+G66-H66</f>
        <v>15642857.142857131</v>
      </c>
      <c r="J66" s="329" t="e">
        <f>+G$25*I66+H66</f>
        <v>#REF!</v>
      </c>
      <c r="K66" s="343">
        <f>+M65</f>
        <v>12375000</v>
      </c>
      <c r="L66" s="340">
        <f>+K$28</f>
        <v>500000</v>
      </c>
      <c r="M66" s="340">
        <f t="shared" ref="M66:M71" si="13">+K66-L66</f>
        <v>11875000</v>
      </c>
      <c r="N66" s="329" t="e">
        <f>+K$25*M66+L66</f>
        <v>#REF!</v>
      </c>
      <c r="O66" s="343">
        <f>+Q65</f>
        <v>19375000</v>
      </c>
      <c r="P66" s="340">
        <f>+O$28</f>
        <v>750000</v>
      </c>
      <c r="Q66" s="340">
        <f t="shared" si="5"/>
        <v>18625000</v>
      </c>
      <c r="R66" s="329" t="e">
        <f>+O$25*Q66+P66</f>
        <v>#REF!</v>
      </c>
      <c r="S66" s="343">
        <f>+U65</f>
        <v>12583333.333333332</v>
      </c>
      <c r="T66" s="340">
        <f>+S$28</f>
        <v>500000</v>
      </c>
      <c r="U66" s="340">
        <f t="shared" si="6"/>
        <v>12083333.333333332</v>
      </c>
      <c r="V66" s="329" t="e">
        <f>+S$25*U66+T66</f>
        <v>#REF!</v>
      </c>
      <c r="W66" s="343">
        <f>+Y65</f>
        <v>19750000</v>
      </c>
      <c r="X66" s="340">
        <f>+W$28</f>
        <v>750000</v>
      </c>
      <c r="Y66" s="340">
        <f t="shared" si="7"/>
        <v>19000000</v>
      </c>
      <c r="Z66" s="329" t="e">
        <f>+W$25*Y66+X66</f>
        <v>#REF!</v>
      </c>
      <c r="AA66" s="343">
        <f>+AC65</f>
        <v>12523809.52380953</v>
      </c>
      <c r="AB66" s="340">
        <f>+AA$28</f>
        <v>571428.57142857148</v>
      </c>
      <c r="AC66" s="340">
        <f t="shared" si="8"/>
        <v>11952380.952380959</v>
      </c>
      <c r="AD66" s="329" t="e">
        <f>+AA$25*AC66+AB66</f>
        <v>#REF!</v>
      </c>
      <c r="AE66" s="343">
        <f>+AG65</f>
        <v>15200000</v>
      </c>
      <c r="AF66" s="340">
        <f>+AE$28</f>
        <v>1200000</v>
      </c>
      <c r="AG66" s="340">
        <f t="shared" si="9"/>
        <v>14000000</v>
      </c>
      <c r="AH66" s="329" t="e">
        <f>+AE$25*AG66+AF66</f>
        <v>#REF!</v>
      </c>
      <c r="AI66" s="343">
        <f>+AK65</f>
        <v>11833333.333333332</v>
      </c>
      <c r="AJ66" s="340">
        <f>+AI$28</f>
        <v>666666.66666666663</v>
      </c>
      <c r="AK66" s="340">
        <f t="shared" si="10"/>
        <v>11166666.666666666</v>
      </c>
      <c r="AL66" s="329" t="e">
        <f>+AI$25*AK66+AJ66</f>
        <v>#REF!</v>
      </c>
      <c r="AM66" s="359" t="e">
        <f t="shared" si="1"/>
        <v>#REF!</v>
      </c>
      <c r="AN66" s="99"/>
      <c r="AO66" s="341" t="e">
        <f>+AM66</f>
        <v>#REF!</v>
      </c>
    </row>
    <row r="67" spans="1:41" ht="13">
      <c r="A67" s="284" t="s">
        <v>394</v>
      </c>
      <c r="B67" s="339">
        <f t="shared" si="4"/>
        <v>2022</v>
      </c>
      <c r="C67" s="340">
        <f>+C66</f>
        <v>9000000.0000000037</v>
      </c>
      <c r="D67" s="340">
        <f>+D66</f>
        <v>666666.66666666663</v>
      </c>
      <c r="E67" s="340">
        <f t="shared" si="11"/>
        <v>8333333.3333333367</v>
      </c>
      <c r="F67" s="329" t="e">
        <f>+C$26*E67+D67</f>
        <v>#REF!</v>
      </c>
      <c r="G67" s="340">
        <f>+G66</f>
        <v>16499999.999999987</v>
      </c>
      <c r="H67" s="340">
        <f>+H66</f>
        <v>857142.85714285716</v>
      </c>
      <c r="I67" s="340">
        <f t="shared" si="12"/>
        <v>15642857.142857131</v>
      </c>
      <c r="J67" s="329" t="e">
        <f>+G$26*I67+H67</f>
        <v>#REF!</v>
      </c>
      <c r="K67" s="343">
        <f>+K66</f>
        <v>12375000</v>
      </c>
      <c r="L67" s="340">
        <f>+L66</f>
        <v>500000</v>
      </c>
      <c r="M67" s="340">
        <f t="shared" si="13"/>
        <v>11875000</v>
      </c>
      <c r="N67" s="329" t="e">
        <f>+K$26*M67+L67</f>
        <v>#REF!</v>
      </c>
      <c r="O67" s="343">
        <f>+O66</f>
        <v>19375000</v>
      </c>
      <c r="P67" s="340">
        <f>+P66</f>
        <v>750000</v>
      </c>
      <c r="Q67" s="340">
        <f t="shared" si="5"/>
        <v>18625000</v>
      </c>
      <c r="R67" s="329" t="e">
        <f>+O$26*Q67+P67</f>
        <v>#REF!</v>
      </c>
      <c r="S67" s="343">
        <f>+S66</f>
        <v>12583333.333333332</v>
      </c>
      <c r="T67" s="340">
        <f>+T66</f>
        <v>500000</v>
      </c>
      <c r="U67" s="340">
        <f t="shared" si="6"/>
        <v>12083333.333333332</v>
      </c>
      <c r="V67" s="329" t="e">
        <f>+S$26*U67+T67</f>
        <v>#REF!</v>
      </c>
      <c r="W67" s="343">
        <f>+W66</f>
        <v>19750000</v>
      </c>
      <c r="X67" s="340">
        <f>+X66</f>
        <v>750000</v>
      </c>
      <c r="Y67" s="340">
        <f t="shared" si="7"/>
        <v>19000000</v>
      </c>
      <c r="Z67" s="329" t="e">
        <f>+W$26*Y67+X67</f>
        <v>#REF!</v>
      </c>
      <c r="AA67" s="343">
        <f>+AA66</f>
        <v>12523809.52380953</v>
      </c>
      <c r="AB67" s="340">
        <f>+AB66</f>
        <v>571428.57142857148</v>
      </c>
      <c r="AC67" s="340">
        <f t="shared" si="8"/>
        <v>11952380.952380959</v>
      </c>
      <c r="AD67" s="329" t="e">
        <f>+AA$26*AC67+AB67</f>
        <v>#REF!</v>
      </c>
      <c r="AE67" s="343">
        <f>+AE66</f>
        <v>15200000</v>
      </c>
      <c r="AF67" s="340">
        <f>+AF66</f>
        <v>1200000</v>
      </c>
      <c r="AG67" s="340">
        <f t="shared" si="9"/>
        <v>14000000</v>
      </c>
      <c r="AH67" s="329" t="e">
        <f>+AE$26*AG67+AF67</f>
        <v>#REF!</v>
      </c>
      <c r="AI67" s="343">
        <f>+AI66</f>
        <v>11833333.333333332</v>
      </c>
      <c r="AJ67" s="340">
        <f>+AJ66</f>
        <v>666666.66666666663</v>
      </c>
      <c r="AK67" s="340">
        <f t="shared" si="10"/>
        <v>11166666.666666666</v>
      </c>
      <c r="AL67" s="329" t="e">
        <f>+AI$26*AK67+AJ67</f>
        <v>#REF!</v>
      </c>
      <c r="AM67" s="359" t="e">
        <f t="shared" si="1"/>
        <v>#REF!</v>
      </c>
      <c r="AN67" s="342" t="e">
        <f>+AM67</f>
        <v>#REF!</v>
      </c>
      <c r="AO67" s="282"/>
    </row>
    <row r="68" spans="1:41" ht="13">
      <c r="A68" s="284" t="s">
        <v>427</v>
      </c>
      <c r="B68" s="339">
        <f t="shared" si="4"/>
        <v>2023</v>
      </c>
      <c r="C68" s="340">
        <f>+E67</f>
        <v>8333333.3333333367</v>
      </c>
      <c r="D68" s="340">
        <f>+C$28</f>
        <v>666666.66666666663</v>
      </c>
      <c r="E68" s="340">
        <f t="shared" si="11"/>
        <v>7666666.6666666698</v>
      </c>
      <c r="F68" s="329" t="e">
        <f>+C$25*E68+D68</f>
        <v>#REF!</v>
      </c>
      <c r="G68" s="340">
        <f>+I67</f>
        <v>15642857.142857131</v>
      </c>
      <c r="H68" s="340">
        <f>+G$28</f>
        <v>857142.85714285716</v>
      </c>
      <c r="I68" s="340">
        <f t="shared" si="12"/>
        <v>14785714.285714274</v>
      </c>
      <c r="J68" s="329" t="e">
        <f>+G$25*I68+H68</f>
        <v>#REF!</v>
      </c>
      <c r="K68" s="343">
        <f>+M67</f>
        <v>11875000</v>
      </c>
      <c r="L68" s="340">
        <f>+K$28</f>
        <v>500000</v>
      </c>
      <c r="M68" s="340">
        <f t="shared" si="13"/>
        <v>11375000</v>
      </c>
      <c r="N68" s="329" t="e">
        <f>+K$25*M68+L68</f>
        <v>#REF!</v>
      </c>
      <c r="O68" s="343">
        <f>+Q67</f>
        <v>18625000</v>
      </c>
      <c r="P68" s="340">
        <f>+O$28</f>
        <v>750000</v>
      </c>
      <c r="Q68" s="340">
        <f>+O68-P68</f>
        <v>17875000</v>
      </c>
      <c r="R68" s="329" t="e">
        <f>+O$25*Q68+P68</f>
        <v>#REF!</v>
      </c>
      <c r="S68" s="343">
        <f>+U67</f>
        <v>12083333.333333332</v>
      </c>
      <c r="T68" s="340">
        <f>+S$28</f>
        <v>500000</v>
      </c>
      <c r="U68" s="340">
        <f>+S68-T68</f>
        <v>11583333.333333332</v>
      </c>
      <c r="V68" s="329" t="e">
        <f>+S$25*U68+T68</f>
        <v>#REF!</v>
      </c>
      <c r="W68" s="343">
        <f>+Y67</f>
        <v>19000000</v>
      </c>
      <c r="X68" s="340">
        <f>+W$28</f>
        <v>750000</v>
      </c>
      <c r="Y68" s="340">
        <f t="shared" si="7"/>
        <v>18250000</v>
      </c>
      <c r="Z68" s="329" t="e">
        <f>+W$25*Y68+X68</f>
        <v>#REF!</v>
      </c>
      <c r="AA68" s="343">
        <f>+AC67</f>
        <v>11952380.952380959</v>
      </c>
      <c r="AB68" s="340">
        <f>+AA$28</f>
        <v>571428.57142857148</v>
      </c>
      <c r="AC68" s="340">
        <f t="shared" si="8"/>
        <v>11380952.380952388</v>
      </c>
      <c r="AD68" s="329" t="e">
        <f>+AA$25*AC68+AB68</f>
        <v>#REF!</v>
      </c>
      <c r="AE68" s="343">
        <f>+AG67</f>
        <v>14000000</v>
      </c>
      <c r="AF68" s="340">
        <f>+AE$28</f>
        <v>1200000</v>
      </c>
      <c r="AG68" s="340">
        <f t="shared" si="9"/>
        <v>12800000</v>
      </c>
      <c r="AH68" s="329" t="e">
        <f>+AE$25*AG68+AF68</f>
        <v>#REF!</v>
      </c>
      <c r="AI68" s="343">
        <f>+AK67</f>
        <v>11166666.666666666</v>
      </c>
      <c r="AJ68" s="340">
        <f>+AI$28</f>
        <v>666666.66666666663</v>
      </c>
      <c r="AK68" s="340">
        <f t="shared" si="10"/>
        <v>10500000</v>
      </c>
      <c r="AL68" s="329" t="e">
        <f>+AI$25*AK68+AJ68</f>
        <v>#REF!</v>
      </c>
      <c r="AM68" s="359" t="e">
        <f t="shared" si="1"/>
        <v>#REF!</v>
      </c>
      <c r="AN68" s="99"/>
      <c r="AO68" s="341" t="e">
        <f>+AM68</f>
        <v>#REF!</v>
      </c>
    </row>
    <row r="69" spans="1:41" ht="13">
      <c r="A69" s="284" t="s">
        <v>394</v>
      </c>
      <c r="B69" s="339">
        <f t="shared" si="4"/>
        <v>2023</v>
      </c>
      <c r="C69" s="340">
        <f>+C68</f>
        <v>8333333.3333333367</v>
      </c>
      <c r="D69" s="340">
        <f>+D68</f>
        <v>666666.66666666663</v>
      </c>
      <c r="E69" s="340">
        <f t="shared" si="11"/>
        <v>7666666.6666666698</v>
      </c>
      <c r="F69" s="329" t="e">
        <f>+C$26*E69+D69</f>
        <v>#REF!</v>
      </c>
      <c r="G69" s="340">
        <f>+G68</f>
        <v>15642857.142857131</v>
      </c>
      <c r="H69" s="340">
        <f>+H68</f>
        <v>857142.85714285716</v>
      </c>
      <c r="I69" s="340">
        <f t="shared" si="12"/>
        <v>14785714.285714274</v>
      </c>
      <c r="J69" s="329" t="e">
        <f>+G$26*I69+H69</f>
        <v>#REF!</v>
      </c>
      <c r="K69" s="343">
        <f>+K68</f>
        <v>11875000</v>
      </c>
      <c r="L69" s="340">
        <f>+L68</f>
        <v>500000</v>
      </c>
      <c r="M69" s="340">
        <f t="shared" si="13"/>
        <v>11375000</v>
      </c>
      <c r="N69" s="329" t="e">
        <f>+K$26*M69+L69</f>
        <v>#REF!</v>
      </c>
      <c r="O69" s="343">
        <f>+O68</f>
        <v>18625000</v>
      </c>
      <c r="P69" s="340">
        <f>+P68</f>
        <v>750000</v>
      </c>
      <c r="Q69" s="340">
        <f>+O69-P69</f>
        <v>17875000</v>
      </c>
      <c r="R69" s="329" t="e">
        <f>+O$26*Q69+P69</f>
        <v>#REF!</v>
      </c>
      <c r="S69" s="343">
        <f>+S68</f>
        <v>12083333.333333332</v>
      </c>
      <c r="T69" s="340">
        <f>+T68</f>
        <v>500000</v>
      </c>
      <c r="U69" s="340">
        <f>+S69-T69</f>
        <v>11583333.333333332</v>
      </c>
      <c r="V69" s="329" t="e">
        <f>+S$26*U69+T69</f>
        <v>#REF!</v>
      </c>
      <c r="W69" s="343">
        <f>+W68</f>
        <v>19000000</v>
      </c>
      <c r="X69" s="340">
        <f>+X68</f>
        <v>750000</v>
      </c>
      <c r="Y69" s="340">
        <f t="shared" si="7"/>
        <v>18250000</v>
      </c>
      <c r="Z69" s="329" t="e">
        <f>+W$26*Y69+X69</f>
        <v>#REF!</v>
      </c>
      <c r="AA69" s="343">
        <f>+AA68</f>
        <v>11952380.952380959</v>
      </c>
      <c r="AB69" s="340">
        <f>+AB68</f>
        <v>571428.57142857148</v>
      </c>
      <c r="AC69" s="340">
        <f t="shared" si="8"/>
        <v>11380952.380952388</v>
      </c>
      <c r="AD69" s="329" t="e">
        <f>+AA$26*AC69+AB69</f>
        <v>#REF!</v>
      </c>
      <c r="AE69" s="343">
        <f>+AE68</f>
        <v>14000000</v>
      </c>
      <c r="AF69" s="340">
        <f>+AF68</f>
        <v>1200000</v>
      </c>
      <c r="AG69" s="340">
        <f t="shared" si="9"/>
        <v>12800000</v>
      </c>
      <c r="AH69" s="329" t="e">
        <f>+AE$26*AG69+AF69</f>
        <v>#REF!</v>
      </c>
      <c r="AI69" s="343">
        <f>+AI68</f>
        <v>11166666.666666666</v>
      </c>
      <c r="AJ69" s="340">
        <f>+AJ68</f>
        <v>666666.66666666663</v>
      </c>
      <c r="AK69" s="340">
        <f t="shared" si="10"/>
        <v>10500000</v>
      </c>
      <c r="AL69" s="329" t="e">
        <f>+AI$26*AK69+AJ69</f>
        <v>#REF!</v>
      </c>
      <c r="AM69" s="359" t="e">
        <f t="shared" si="1"/>
        <v>#REF!</v>
      </c>
      <c r="AN69" s="342" t="e">
        <f>+AM69</f>
        <v>#REF!</v>
      </c>
      <c r="AO69" s="282"/>
    </row>
    <row r="70" spans="1:41" ht="13">
      <c r="A70" s="284" t="s">
        <v>427</v>
      </c>
      <c r="B70" s="339">
        <f t="shared" si="4"/>
        <v>2024</v>
      </c>
      <c r="C70" s="340">
        <f>+E69</f>
        <v>7666666.6666666698</v>
      </c>
      <c r="D70" s="340">
        <f>+C$28</f>
        <v>666666.66666666663</v>
      </c>
      <c r="E70" s="340">
        <f t="shared" si="11"/>
        <v>7000000.0000000028</v>
      </c>
      <c r="F70" s="329" t="e">
        <f>+C$25*E70+D70</f>
        <v>#REF!</v>
      </c>
      <c r="G70" s="340">
        <f>+I69</f>
        <v>14785714.285714274</v>
      </c>
      <c r="H70" s="340">
        <f>+G$28</f>
        <v>857142.85714285716</v>
      </c>
      <c r="I70" s="340">
        <f t="shared" si="12"/>
        <v>13928571.428571418</v>
      </c>
      <c r="J70" s="329" t="e">
        <f>+G$25*I70+H70</f>
        <v>#REF!</v>
      </c>
      <c r="K70" s="343">
        <f>+M69</f>
        <v>11375000</v>
      </c>
      <c r="L70" s="340">
        <f>+K$28</f>
        <v>500000</v>
      </c>
      <c r="M70" s="340">
        <f t="shared" si="13"/>
        <v>10875000</v>
      </c>
      <c r="N70" s="329" t="e">
        <f>+K$25*M70+L70</f>
        <v>#REF!</v>
      </c>
      <c r="O70" s="343">
        <f>+Q69</f>
        <v>17875000</v>
      </c>
      <c r="P70" s="340">
        <f>+O$28</f>
        <v>750000</v>
      </c>
      <c r="Q70" s="340">
        <f>+O70-P70</f>
        <v>17125000</v>
      </c>
      <c r="R70" s="329" t="e">
        <f>+O$25*Q70+P70</f>
        <v>#REF!</v>
      </c>
      <c r="S70" s="343">
        <f>+U69</f>
        <v>11583333.333333332</v>
      </c>
      <c r="T70" s="340">
        <f>+S$28</f>
        <v>500000</v>
      </c>
      <c r="U70" s="340">
        <f>+S70-T70</f>
        <v>11083333.333333332</v>
      </c>
      <c r="V70" s="329" t="e">
        <f>+S$25*U70+T70</f>
        <v>#REF!</v>
      </c>
      <c r="W70" s="343">
        <f>+Y69</f>
        <v>18250000</v>
      </c>
      <c r="X70" s="340">
        <f>+W$28</f>
        <v>750000</v>
      </c>
      <c r="Y70" s="340">
        <f>+W70-X70</f>
        <v>17500000</v>
      </c>
      <c r="Z70" s="329" t="e">
        <f>+W$25*Y70+X70</f>
        <v>#REF!</v>
      </c>
      <c r="AA70" s="343">
        <f>+AC69</f>
        <v>11380952.380952388</v>
      </c>
      <c r="AB70" s="340">
        <f>+AA$28</f>
        <v>571428.57142857148</v>
      </c>
      <c r="AC70" s="340">
        <f>+AA70-AB70</f>
        <v>10809523.809523817</v>
      </c>
      <c r="AD70" s="329" t="e">
        <f>+AA$25*AC70+AB70</f>
        <v>#REF!</v>
      </c>
      <c r="AE70" s="343">
        <f>+AG69</f>
        <v>12800000</v>
      </c>
      <c r="AF70" s="340">
        <f>+AE$28</f>
        <v>1200000</v>
      </c>
      <c r="AG70" s="340">
        <f t="shared" si="9"/>
        <v>11600000</v>
      </c>
      <c r="AH70" s="329" t="e">
        <f>+AE$25*AG70+AF70</f>
        <v>#REF!</v>
      </c>
      <c r="AI70" s="343">
        <f>+AK69</f>
        <v>10500000</v>
      </c>
      <c r="AJ70" s="340">
        <f>+AI$28</f>
        <v>666666.66666666663</v>
      </c>
      <c r="AK70" s="340">
        <f t="shared" si="10"/>
        <v>9833333.333333334</v>
      </c>
      <c r="AL70" s="329" t="e">
        <f>+AI$25*AK70+AJ70</f>
        <v>#REF!</v>
      </c>
      <c r="AM70" s="359" t="e">
        <f t="shared" si="1"/>
        <v>#REF!</v>
      </c>
      <c r="AN70" s="99"/>
      <c r="AO70" s="341" t="e">
        <f>+AM70</f>
        <v>#REF!</v>
      </c>
    </row>
    <row r="71" spans="1:41" ht="13">
      <c r="A71" s="284" t="s">
        <v>394</v>
      </c>
      <c r="B71" s="339">
        <f t="shared" si="4"/>
        <v>2024</v>
      </c>
      <c r="C71" s="340"/>
      <c r="D71" s="340">
        <f>+D70</f>
        <v>666666.66666666663</v>
      </c>
      <c r="E71" s="340">
        <f t="shared" si="11"/>
        <v>-666666.66666666663</v>
      </c>
      <c r="F71" s="329" t="e">
        <f>+C$26*E71+D71</f>
        <v>#REF!</v>
      </c>
      <c r="G71" s="340">
        <f>+G70</f>
        <v>14785714.285714274</v>
      </c>
      <c r="H71" s="340">
        <f>+H70</f>
        <v>857142.85714285716</v>
      </c>
      <c r="I71" s="340">
        <f t="shared" si="12"/>
        <v>13928571.428571418</v>
      </c>
      <c r="J71" s="329" t="e">
        <f>+G$26*I71+H71</f>
        <v>#REF!</v>
      </c>
      <c r="K71" s="343">
        <f>+K70</f>
        <v>11375000</v>
      </c>
      <c r="L71" s="340">
        <f>+L70</f>
        <v>500000</v>
      </c>
      <c r="M71" s="340">
        <f t="shared" si="13"/>
        <v>10875000</v>
      </c>
      <c r="N71" s="329" t="e">
        <f>+K$26*M71+L71</f>
        <v>#REF!</v>
      </c>
      <c r="O71" s="343">
        <f>+O70</f>
        <v>17875000</v>
      </c>
      <c r="P71" s="340">
        <f>+P70</f>
        <v>750000</v>
      </c>
      <c r="Q71" s="340">
        <f>+O71-P71</f>
        <v>17125000</v>
      </c>
      <c r="R71" s="329" t="e">
        <f>+O$26*Q71+P71</f>
        <v>#REF!</v>
      </c>
      <c r="S71" s="343">
        <f>+S70</f>
        <v>11583333.333333332</v>
      </c>
      <c r="T71" s="340">
        <f>+T70</f>
        <v>500000</v>
      </c>
      <c r="U71" s="340">
        <f>+S71-T71</f>
        <v>11083333.333333332</v>
      </c>
      <c r="V71" s="329" t="e">
        <f>+S$26*U71+T71</f>
        <v>#REF!</v>
      </c>
      <c r="W71" s="343">
        <f>+W70</f>
        <v>18250000</v>
      </c>
      <c r="X71" s="340">
        <f>+X70</f>
        <v>750000</v>
      </c>
      <c r="Y71" s="340">
        <f>+W71-X71</f>
        <v>17500000</v>
      </c>
      <c r="Z71" s="329" t="e">
        <f>+W$26*Y71+X71</f>
        <v>#REF!</v>
      </c>
      <c r="AA71" s="343">
        <f>+AA70</f>
        <v>11380952.380952388</v>
      </c>
      <c r="AB71" s="340">
        <f>+AB70</f>
        <v>571428.57142857148</v>
      </c>
      <c r="AC71" s="340">
        <f>+AA71-AB71</f>
        <v>10809523.809523817</v>
      </c>
      <c r="AD71" s="329" t="e">
        <f>+AA$26*AC71+AB71</f>
        <v>#REF!</v>
      </c>
      <c r="AE71" s="343">
        <f>+AE70</f>
        <v>12800000</v>
      </c>
      <c r="AF71" s="340">
        <f>+AF70</f>
        <v>1200000</v>
      </c>
      <c r="AG71" s="340">
        <f t="shared" si="9"/>
        <v>11600000</v>
      </c>
      <c r="AH71" s="329" t="e">
        <f>+AE$26*AG71+AF71</f>
        <v>#REF!</v>
      </c>
      <c r="AI71" s="343">
        <f>+AI70</f>
        <v>10500000</v>
      </c>
      <c r="AJ71" s="340">
        <f>+AJ70</f>
        <v>666666.66666666663</v>
      </c>
      <c r="AK71" s="340">
        <f t="shared" si="10"/>
        <v>9833333.333333334</v>
      </c>
      <c r="AL71" s="329" t="e">
        <f>+AI$26*AK71+AJ71</f>
        <v>#REF!</v>
      </c>
      <c r="AM71" s="359" t="e">
        <f t="shared" si="1"/>
        <v>#REF!</v>
      </c>
      <c r="AN71" s="342" t="e">
        <f>+AM71</f>
        <v>#REF!</v>
      </c>
      <c r="AO71" s="282"/>
    </row>
    <row r="72" spans="1:41" ht="13">
      <c r="A72" s="344" t="s">
        <v>420</v>
      </c>
      <c r="B72" s="345" t="s">
        <v>420</v>
      </c>
      <c r="C72" s="346"/>
      <c r="D72" s="346" t="s">
        <v>420</v>
      </c>
      <c r="E72" s="346" t="s">
        <v>421</v>
      </c>
      <c r="F72" s="347" t="s">
        <v>420</v>
      </c>
      <c r="G72" s="346" t="s">
        <v>420</v>
      </c>
      <c r="H72" s="346" t="s">
        <v>420</v>
      </c>
      <c r="I72" s="346" t="s">
        <v>421</v>
      </c>
      <c r="J72" s="347" t="s">
        <v>420</v>
      </c>
      <c r="K72" s="346" t="s">
        <v>420</v>
      </c>
      <c r="L72" s="346" t="s">
        <v>420</v>
      </c>
      <c r="M72" s="346" t="s">
        <v>421</v>
      </c>
      <c r="N72" s="347" t="s">
        <v>420</v>
      </c>
      <c r="O72" s="346" t="s">
        <v>420</v>
      </c>
      <c r="P72" s="346" t="s">
        <v>420</v>
      </c>
      <c r="Q72" s="346" t="s">
        <v>421</v>
      </c>
      <c r="R72" s="347" t="s">
        <v>420</v>
      </c>
      <c r="S72" s="346" t="s">
        <v>420</v>
      </c>
      <c r="T72" s="346" t="s">
        <v>420</v>
      </c>
      <c r="U72" s="346" t="s">
        <v>421</v>
      </c>
      <c r="V72" s="347" t="s">
        <v>420</v>
      </c>
      <c r="W72" s="346" t="s">
        <v>420</v>
      </c>
      <c r="X72" s="346" t="s">
        <v>420</v>
      </c>
      <c r="Y72" s="346" t="s">
        <v>421</v>
      </c>
      <c r="Z72" s="347" t="s">
        <v>420</v>
      </c>
      <c r="AA72" s="346" t="s">
        <v>420</v>
      </c>
      <c r="AB72" s="346" t="s">
        <v>420</v>
      </c>
      <c r="AC72" s="346" t="s">
        <v>421</v>
      </c>
      <c r="AD72" s="347" t="s">
        <v>420</v>
      </c>
      <c r="AE72" s="346" t="s">
        <v>420</v>
      </c>
      <c r="AF72" s="346" t="s">
        <v>420</v>
      </c>
      <c r="AG72" s="346" t="s">
        <v>421</v>
      </c>
      <c r="AH72" s="347" t="s">
        <v>420</v>
      </c>
      <c r="AI72" s="346" t="s">
        <v>420</v>
      </c>
      <c r="AJ72" s="346" t="s">
        <v>420</v>
      </c>
      <c r="AK72" s="346" t="s">
        <v>421</v>
      </c>
      <c r="AL72" s="347" t="s">
        <v>420</v>
      </c>
      <c r="AM72" s="359"/>
      <c r="AN72" s="99"/>
      <c r="AO72" s="341">
        <f>+AM72</f>
        <v>0</v>
      </c>
    </row>
    <row r="73" spans="1:41" ht="13.5" thickBot="1">
      <c r="A73" s="348" t="s">
        <v>420</v>
      </c>
      <c r="B73" s="349" t="s">
        <v>420</v>
      </c>
      <c r="C73" s="350" t="s">
        <v>420</v>
      </c>
      <c r="D73" s="350" t="s">
        <v>421</v>
      </c>
      <c r="E73" s="350" t="s">
        <v>421</v>
      </c>
      <c r="F73" s="351" t="s">
        <v>420</v>
      </c>
      <c r="G73" s="350" t="s">
        <v>420</v>
      </c>
      <c r="H73" s="350" t="s">
        <v>421</v>
      </c>
      <c r="I73" s="350" t="s">
        <v>421</v>
      </c>
      <c r="J73" s="351" t="s">
        <v>420</v>
      </c>
      <c r="K73" s="350" t="s">
        <v>420</v>
      </c>
      <c r="L73" s="350" t="s">
        <v>421</v>
      </c>
      <c r="M73" s="350" t="s">
        <v>421</v>
      </c>
      <c r="N73" s="351" t="s">
        <v>420</v>
      </c>
      <c r="O73" s="350" t="s">
        <v>420</v>
      </c>
      <c r="P73" s="350" t="s">
        <v>421</v>
      </c>
      <c r="Q73" s="350" t="s">
        <v>421</v>
      </c>
      <c r="R73" s="351" t="s">
        <v>420</v>
      </c>
      <c r="S73" s="350" t="s">
        <v>420</v>
      </c>
      <c r="T73" s="350" t="s">
        <v>421</v>
      </c>
      <c r="U73" s="350" t="s">
        <v>421</v>
      </c>
      <c r="V73" s="351" t="s">
        <v>420</v>
      </c>
      <c r="W73" s="350" t="s">
        <v>420</v>
      </c>
      <c r="X73" s="350" t="s">
        <v>421</v>
      </c>
      <c r="Y73" s="350" t="s">
        <v>421</v>
      </c>
      <c r="Z73" s="351" t="s">
        <v>420</v>
      </c>
      <c r="AA73" s="350" t="s">
        <v>420</v>
      </c>
      <c r="AB73" s="350" t="s">
        <v>421</v>
      </c>
      <c r="AC73" s="350" t="s">
        <v>421</v>
      </c>
      <c r="AD73" s="351" t="s">
        <v>420</v>
      </c>
      <c r="AE73" s="350" t="s">
        <v>420</v>
      </c>
      <c r="AF73" s="350" t="s">
        <v>421</v>
      </c>
      <c r="AG73" s="350" t="s">
        <v>421</v>
      </c>
      <c r="AH73" s="351" t="s">
        <v>420</v>
      </c>
      <c r="AI73" s="350" t="s">
        <v>420</v>
      </c>
      <c r="AJ73" s="350" t="s">
        <v>421</v>
      </c>
      <c r="AK73" s="350" t="s">
        <v>421</v>
      </c>
      <c r="AL73" s="351" t="s">
        <v>420</v>
      </c>
      <c r="AM73" s="360"/>
      <c r="AN73" s="352">
        <f>+AM73</f>
        <v>0</v>
      </c>
      <c r="AO73" s="290"/>
    </row>
    <row r="74" spans="1:41" ht="13">
      <c r="A74" s="97"/>
      <c r="B74" s="353"/>
      <c r="C74" s="97"/>
      <c r="D74" s="97"/>
      <c r="E74" s="97"/>
      <c r="F74" s="354"/>
      <c r="G74" s="97"/>
      <c r="H74" s="97"/>
      <c r="I74" s="97"/>
      <c r="J74" s="354"/>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355" t="e">
        <f>SUM(AN32:AN71)</f>
        <v>#REF!</v>
      </c>
      <c r="AO74" s="355" t="e">
        <f>SUM(AO32:AO71)</f>
        <v>#REF!</v>
      </c>
    </row>
    <row r="76" spans="1:41">
      <c r="AN76" s="114"/>
    </row>
    <row r="306" spans="1:6">
      <c r="A306" s="366"/>
      <c r="B306" s="365"/>
      <c r="C306" s="366"/>
      <c r="D306" s="366"/>
      <c r="E306" s="366"/>
      <c r="F306" s="367"/>
    </row>
    <row r="307" spans="1:6">
      <c r="A307" s="366"/>
      <c r="B307" s="365"/>
      <c r="C307" s="366"/>
      <c r="D307" s="366"/>
      <c r="E307" s="366"/>
      <c r="F307" s="367"/>
    </row>
    <row r="308" spans="1:6">
      <c r="A308" s="366"/>
      <c r="B308" s="365"/>
      <c r="C308" s="366"/>
      <c r="D308" s="366"/>
      <c r="E308" s="366"/>
      <c r="F308" s="367"/>
    </row>
    <row r="309" spans="1:6">
      <c r="A309" s="366"/>
      <c r="B309" s="365"/>
      <c r="C309" s="366"/>
      <c r="D309" s="366"/>
      <c r="E309" s="366"/>
      <c r="F309" s="367"/>
    </row>
    <row r="310" spans="1:6">
      <c r="A310" s="366"/>
      <c r="B310" s="365"/>
      <c r="C310" s="366"/>
      <c r="D310" s="366"/>
      <c r="E310" s="366"/>
      <c r="F310" s="367"/>
    </row>
    <row r="311" spans="1:6">
      <c r="A311" s="366"/>
      <c r="B311" s="365"/>
      <c r="C311" s="366"/>
      <c r="D311" s="366"/>
      <c r="E311" s="366"/>
      <c r="F311" s="367"/>
    </row>
    <row r="312" spans="1:6">
      <c r="A312" s="366"/>
      <c r="B312" s="365"/>
      <c r="C312" s="366"/>
      <c r="D312" s="366"/>
      <c r="E312" s="366"/>
      <c r="F312" s="367"/>
    </row>
    <row r="313" spans="1:6">
      <c r="A313" s="366"/>
      <c r="B313" s="365"/>
      <c r="C313" s="366"/>
      <c r="D313" s="366"/>
      <c r="E313" s="366"/>
      <c r="F313" s="367"/>
    </row>
    <row r="314" spans="1:6">
      <c r="A314" s="366"/>
      <c r="B314" s="365"/>
      <c r="C314" s="366"/>
      <c r="D314" s="366"/>
      <c r="E314" s="366"/>
      <c r="F314" s="367"/>
    </row>
  </sheetData>
  <mergeCells count="1">
    <mergeCell ref="A1:AO1"/>
  </mergeCells>
  <phoneticPr fontId="0" type="noConversion"/>
  <printOptions horizontalCentered="1"/>
  <pageMargins left="0.25" right="0.25" top="0.25" bottom="0.25" header="0.5" footer="0.5"/>
  <pageSetup scale="59" orientation="landscape" r:id="rId1"/>
  <headerFooter alignWithMargins="0">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Q496"/>
  <sheetViews>
    <sheetView view="pageBreakPreview" zoomScale="60" zoomScaleNormal="70" workbookViewId="0">
      <pane ySplit="13" topLeftCell="A14" activePane="bottomLeft" state="frozen"/>
      <selection activeCell="D9" sqref="D9"/>
      <selection pane="bottomLeft" activeCell="K38" sqref="K38"/>
    </sheetView>
  </sheetViews>
  <sheetFormatPr defaultRowHeight="12.5"/>
  <cols>
    <col min="1" max="1" width="6.453125" customWidth="1"/>
    <col min="2" max="2" width="4.26953125" customWidth="1"/>
    <col min="3" max="3" width="58" customWidth="1"/>
    <col min="4" max="4" width="35.54296875" customWidth="1"/>
    <col min="5" max="5" width="15.453125" bestFit="1" customWidth="1"/>
    <col min="6" max="6" width="20.7265625" customWidth="1"/>
    <col min="7" max="7" width="15.1796875" customWidth="1"/>
    <col min="8" max="8" width="13" customWidth="1"/>
    <col min="9" max="9" width="15.81640625" customWidth="1"/>
    <col min="10" max="10" width="12.7265625" customWidth="1"/>
    <col min="11" max="11" width="15.453125" customWidth="1"/>
    <col min="12" max="12" width="13.81640625" customWidth="1"/>
    <col min="13" max="13" width="12.81640625" customWidth="1"/>
    <col min="14" max="14" width="12.54296875" customWidth="1"/>
    <col min="15" max="15" width="12.26953125" customWidth="1"/>
    <col min="16" max="16" width="13.1796875" customWidth="1"/>
    <col min="17" max="17" width="14.81640625" customWidth="1"/>
  </cols>
  <sheetData>
    <row r="2" spans="1:17">
      <c r="G2" s="96" t="s">
        <v>385</v>
      </c>
      <c r="H2" s="96" t="s">
        <v>385</v>
      </c>
      <c r="I2" s="96" t="s">
        <v>385</v>
      </c>
      <c r="J2" s="96" t="s">
        <v>385</v>
      </c>
      <c r="K2" s="96" t="s">
        <v>385</v>
      </c>
      <c r="L2" s="96" t="s">
        <v>385</v>
      </c>
      <c r="M2" s="96" t="s">
        <v>385</v>
      </c>
      <c r="N2" s="96" t="s">
        <v>385</v>
      </c>
      <c r="O2" s="96" t="s">
        <v>385</v>
      </c>
      <c r="P2" s="96" t="s">
        <v>385</v>
      </c>
      <c r="Q2" s="96" t="s">
        <v>385</v>
      </c>
    </row>
    <row r="3" spans="1:17" ht="16" thickBot="1">
      <c r="A3" s="101" t="s">
        <v>532</v>
      </c>
      <c r="G3" s="147" t="s">
        <v>156</v>
      </c>
      <c r="H3" s="147" t="str">
        <f>'ATT H-2A'!$B316</f>
        <v>B</v>
      </c>
      <c r="I3" s="147" t="str">
        <f>'ATT H-2A'!$B319</f>
        <v>C</v>
      </c>
      <c r="J3" s="147" t="str">
        <f>'ATT H-2A'!$B320</f>
        <v>D</v>
      </c>
      <c r="K3" s="147" t="str">
        <f>'ATT H-2A'!$B321&amp;"  &amp;  "&amp;'ATT H-2A'!$B323</f>
        <v>E  &amp;  G</v>
      </c>
      <c r="L3" s="147" t="str">
        <f>'ATT H-2A'!$B322</f>
        <v>F</v>
      </c>
      <c r="M3" s="147" t="e">
        <f>'ATT H-2A'!#REF!</f>
        <v>#REF!</v>
      </c>
      <c r="N3" s="147" t="str">
        <f>'ATT H-2A'!$B330</f>
        <v>K</v>
      </c>
      <c r="O3" s="147" t="str">
        <f>'ATT H-2A'!$B331</f>
        <v>L</v>
      </c>
      <c r="P3" s="147" t="str">
        <f>'ATT H-2A'!$B332</f>
        <v>M</v>
      </c>
      <c r="Q3" s="147" t="str">
        <f>'ATT H-2A'!$B333</f>
        <v>N</v>
      </c>
    </row>
    <row r="4" spans="1:17" ht="87.75" customHeight="1">
      <c r="A4" s="1578" t="s">
        <v>534</v>
      </c>
      <c r="B4" s="1579"/>
      <c r="C4" s="1579"/>
      <c r="D4" s="1579"/>
      <c r="E4" s="1579"/>
      <c r="F4" s="1580"/>
      <c r="G4" s="293" t="s">
        <v>535</v>
      </c>
      <c r="H4" s="293" t="s">
        <v>536</v>
      </c>
      <c r="I4" s="293" t="s">
        <v>537</v>
      </c>
      <c r="J4" s="293" t="s">
        <v>538</v>
      </c>
      <c r="K4" s="293" t="s">
        <v>539</v>
      </c>
      <c r="L4" s="293" t="s">
        <v>540</v>
      </c>
      <c r="M4" s="293" t="s">
        <v>545</v>
      </c>
      <c r="N4" s="293" t="s">
        <v>541</v>
      </c>
      <c r="O4" s="293" t="s">
        <v>542</v>
      </c>
      <c r="P4" s="293" t="s">
        <v>543</v>
      </c>
      <c r="Q4" s="294" t="s">
        <v>544</v>
      </c>
    </row>
    <row r="5" spans="1:17" ht="15.5" hidden="1">
      <c r="A5" s="190"/>
      <c r="B5" s="184" t="str">
        <f>'ATT H-2A'!B9</f>
        <v>Wages &amp; Salary Allocation Factor</v>
      </c>
      <c r="C5" s="84"/>
      <c r="D5" s="84"/>
      <c r="E5" s="156"/>
      <c r="F5" s="191"/>
      <c r="G5" s="99"/>
      <c r="H5" s="99"/>
      <c r="I5" s="99"/>
      <c r="J5" s="99"/>
      <c r="K5" s="99"/>
      <c r="L5" s="99"/>
      <c r="M5" s="99"/>
      <c r="N5" s="99"/>
      <c r="O5" s="99"/>
      <c r="P5" s="99"/>
      <c r="Q5" s="282"/>
    </row>
    <row r="6" spans="1:17" ht="15.5" hidden="1">
      <c r="A6" s="192">
        <f>'ATT H-2A'!A10</f>
        <v>1</v>
      </c>
      <c r="B6" s="163"/>
      <c r="C6" s="138" t="str">
        <f>'ATT H-2A'!C10</f>
        <v>Direct Transmission Wages Expense</v>
      </c>
      <c r="D6" s="193"/>
      <c r="E6" s="169"/>
      <c r="F6" s="191" t="str">
        <f>'ATT H-2A'!F10</f>
        <v>p354.21.b</v>
      </c>
      <c r="G6" s="99"/>
      <c r="H6" s="99"/>
      <c r="I6" s="99"/>
      <c r="J6" s="99"/>
      <c r="K6" s="99"/>
      <c r="L6" s="99"/>
      <c r="M6" s="99"/>
      <c r="N6" s="99"/>
      <c r="O6" s="99"/>
      <c r="P6" s="99"/>
      <c r="Q6" s="282"/>
    </row>
    <row r="7" spans="1:17" ht="15.5" hidden="1">
      <c r="A7" s="194"/>
      <c r="B7" s="84"/>
      <c r="C7" s="84"/>
      <c r="D7" s="84"/>
      <c r="E7" s="139"/>
      <c r="F7" s="195"/>
      <c r="G7" s="99"/>
      <c r="H7" s="99"/>
      <c r="I7" s="99"/>
      <c r="J7" s="99"/>
      <c r="K7" s="99"/>
      <c r="L7" s="99"/>
      <c r="M7" s="99"/>
      <c r="N7" s="99"/>
      <c r="O7" s="99"/>
      <c r="P7" s="99"/>
      <c r="Q7" s="282"/>
    </row>
    <row r="8" spans="1:17" ht="15.5" hidden="1">
      <c r="A8" s="192">
        <f>'ATT H-2A'!A13</f>
        <v>2</v>
      </c>
      <c r="B8" s="163"/>
      <c r="C8" s="138" t="str">
        <f>'ATT H-2A'!C13</f>
        <v>Total Direct Wages Expense</v>
      </c>
      <c r="D8" s="138"/>
      <c r="E8" s="139"/>
      <c r="F8" s="196" t="str">
        <f>'ATT H-2A'!F13</f>
        <v>p354.28b</v>
      </c>
      <c r="G8" s="99"/>
      <c r="H8" s="99"/>
      <c r="I8" s="99"/>
      <c r="J8" s="99"/>
      <c r="K8" s="99"/>
      <c r="L8" s="99"/>
      <c r="M8" s="99"/>
      <c r="N8" s="99"/>
      <c r="O8" s="99"/>
      <c r="P8" s="99"/>
      <c r="Q8" s="282"/>
    </row>
    <row r="9" spans="1:17" ht="15.5" hidden="1">
      <c r="A9" s="192">
        <f>'ATT H-2A'!A16</f>
        <v>3</v>
      </c>
      <c r="B9" s="163"/>
      <c r="C9" s="138" t="str">
        <f>'ATT H-2A'!C16</f>
        <v>Less Direct A&amp;G Wages Expense</v>
      </c>
      <c r="D9" s="138"/>
      <c r="E9" s="139"/>
      <c r="F9" s="196" t="str">
        <f>'ATT H-2A'!F16</f>
        <v>p354.27b</v>
      </c>
      <c r="G9" s="99"/>
      <c r="H9" s="99"/>
      <c r="I9" s="99"/>
      <c r="J9" s="99"/>
      <c r="K9" s="99"/>
      <c r="L9" s="99"/>
      <c r="M9" s="99"/>
      <c r="N9" s="99"/>
      <c r="O9" s="99"/>
      <c r="P9" s="99"/>
      <c r="Q9" s="282"/>
    </row>
    <row r="10" spans="1:17" ht="15.75" hidden="1" customHeight="1">
      <c r="A10" s="192">
        <f>'ATT H-2A'!A18</f>
        <v>4</v>
      </c>
      <c r="B10" s="163"/>
      <c r="C10" s="140" t="str">
        <f>'ATT H-2A'!C18</f>
        <v>Total</v>
      </c>
      <c r="D10" s="141"/>
      <c r="E10" s="142"/>
      <c r="F10" s="197" t="str">
        <f>'ATT H-2A'!F18</f>
        <v>(Line 2b - 3 - 3a)</v>
      </c>
      <c r="G10" s="99"/>
      <c r="H10" s="99"/>
      <c r="I10" s="99"/>
      <c r="J10" s="99"/>
      <c r="K10" s="99"/>
      <c r="L10" s="99"/>
      <c r="M10" s="99"/>
      <c r="N10" s="99"/>
      <c r="O10" s="99"/>
      <c r="P10" s="99"/>
      <c r="Q10" s="282"/>
    </row>
    <row r="11" spans="1:17" ht="15.5" hidden="1">
      <c r="A11" s="192"/>
      <c r="B11" s="163"/>
      <c r="C11" s="155"/>
      <c r="D11" s="84"/>
      <c r="E11" s="156"/>
      <c r="F11" s="198"/>
      <c r="G11" s="99"/>
      <c r="H11" s="99"/>
      <c r="I11" s="99"/>
      <c r="J11" s="99"/>
      <c r="K11" s="99"/>
      <c r="L11" s="99"/>
      <c r="M11" s="99"/>
      <c r="N11" s="99"/>
      <c r="O11" s="99"/>
      <c r="P11" s="99"/>
      <c r="Q11" s="282"/>
    </row>
    <row r="12" spans="1:17" ht="16" hidden="1" thickBot="1">
      <c r="A12" s="192">
        <f>'ATT H-2A'!A20</f>
        <v>5</v>
      </c>
      <c r="B12" s="143" t="str">
        <f>'ATT H-2A'!B20</f>
        <v>Wages &amp; Salary Allocator</v>
      </c>
      <c r="C12" s="143"/>
      <c r="D12" s="144"/>
      <c r="E12" s="145"/>
      <c r="F12" s="199" t="str">
        <f>'ATT H-2A'!F20</f>
        <v>(Line 1b / 4)</v>
      </c>
      <c r="G12" s="99"/>
      <c r="H12" s="99"/>
      <c r="I12" s="99"/>
      <c r="J12" s="99"/>
      <c r="K12" s="99"/>
      <c r="L12" s="99"/>
      <c r="M12" s="99"/>
      <c r="N12" s="99"/>
      <c r="O12" s="99"/>
      <c r="P12" s="99"/>
      <c r="Q12" s="282"/>
    </row>
    <row r="13" spans="1:17" ht="16.5" hidden="1" customHeight="1">
      <c r="A13" s="192"/>
      <c r="B13" s="163"/>
      <c r="C13" s="184"/>
      <c r="D13" s="148"/>
      <c r="E13" s="200"/>
      <c r="F13" s="198"/>
      <c r="G13" s="99"/>
      <c r="H13" s="99"/>
      <c r="I13" s="99"/>
      <c r="J13" s="99"/>
      <c r="K13" s="99"/>
      <c r="L13" s="99"/>
      <c r="M13" s="99"/>
      <c r="N13" s="99"/>
      <c r="O13" s="99"/>
      <c r="P13" s="99"/>
      <c r="Q13" s="282"/>
    </row>
    <row r="14" spans="1:17" ht="16.5" customHeight="1">
      <c r="A14" s="382" t="s">
        <v>532</v>
      </c>
      <c r="B14" s="163"/>
      <c r="C14" s="184"/>
      <c r="D14" s="148"/>
      <c r="E14" s="200"/>
      <c r="F14" s="198"/>
      <c r="G14" s="99"/>
      <c r="H14" s="99"/>
      <c r="I14" s="99"/>
      <c r="J14" s="99"/>
      <c r="K14" s="99"/>
      <c r="L14" s="99"/>
      <c r="M14" s="99"/>
      <c r="N14" s="99"/>
      <c r="O14" s="99"/>
      <c r="P14" s="99"/>
      <c r="Q14" s="282"/>
    </row>
    <row r="15" spans="1:17" ht="15.5">
      <c r="A15" s="194"/>
      <c r="B15" s="184" t="str">
        <f>'ATT H-2A'!B22</f>
        <v>Plant Allocation Factors</v>
      </c>
      <c r="C15" s="84"/>
      <c r="D15" s="174"/>
      <c r="E15" s="139"/>
      <c r="F15" s="195"/>
      <c r="G15" s="99"/>
      <c r="H15" s="99"/>
      <c r="I15" s="99"/>
      <c r="J15" s="99"/>
      <c r="K15" s="99"/>
      <c r="L15" s="99"/>
      <c r="M15" s="99"/>
      <c r="N15" s="99"/>
      <c r="O15" s="99"/>
      <c r="P15" s="99"/>
      <c r="Q15" s="282"/>
    </row>
    <row r="16" spans="1:17" ht="15.5">
      <c r="A16" s="201">
        <f>'ATT H-2A'!A23</f>
        <v>6</v>
      </c>
      <c r="B16" s="174"/>
      <c r="C16" s="138" t="str">
        <f>'ATT H-2A'!C23</f>
        <v>Electric Plant in Service</v>
      </c>
      <c r="D16" s="84"/>
      <c r="E16" s="147">
        <f>'ATT H-2A'!E23</f>
        <v>0</v>
      </c>
      <c r="F16" s="196" t="str">
        <f>'ATT H-2A'!F23</f>
        <v>p207.104g (See Attachment 9A, line 14, column n)</v>
      </c>
      <c r="G16" s="99"/>
      <c r="H16" s="134" t="s">
        <v>451</v>
      </c>
      <c r="I16" s="99"/>
      <c r="J16" s="99"/>
      <c r="K16" s="99"/>
      <c r="L16" s="99"/>
      <c r="M16" s="99"/>
      <c r="N16" s="99"/>
      <c r="O16" s="99"/>
      <c r="P16" s="99"/>
      <c r="Q16" s="282"/>
    </row>
    <row r="17" spans="1:17" ht="15.5">
      <c r="A17" s="201">
        <f>'ATT H-2A'!A24</f>
        <v>7</v>
      </c>
      <c r="B17" s="174"/>
      <c r="C17" s="138" t="str">
        <f>'ATT H-2A'!C24</f>
        <v>Common Plant In Service - Electric</v>
      </c>
      <c r="D17" s="84"/>
      <c r="E17" s="147" t="str">
        <f>'ATT H-2A'!E24</f>
        <v>(Note A)</v>
      </c>
      <c r="F17" s="202" t="str">
        <f>'ATT H-2A'!F24</f>
        <v>(Line 24)</v>
      </c>
      <c r="G17" s="134" t="s">
        <v>451</v>
      </c>
      <c r="H17" s="134" t="s">
        <v>451</v>
      </c>
      <c r="I17" s="99"/>
      <c r="J17" s="99"/>
      <c r="K17" s="99"/>
      <c r="L17" s="99"/>
      <c r="M17" s="99"/>
      <c r="N17" s="99"/>
      <c r="O17" s="99"/>
      <c r="P17" s="99"/>
      <c r="Q17" s="282"/>
    </row>
    <row r="18" spans="1:17" ht="15.5" hidden="1">
      <c r="A18" s="201">
        <f>'ATT H-2A'!A25</f>
        <v>8</v>
      </c>
      <c r="B18" s="174"/>
      <c r="C18" s="138" t="str">
        <f>'ATT H-2A'!C25</f>
        <v>Total Plant In Service</v>
      </c>
      <c r="D18" s="84"/>
      <c r="E18" s="169"/>
      <c r="F18" s="202" t="str">
        <f>'ATT H-2A'!F25</f>
        <v>(Sum Lines 6 &amp; 7)</v>
      </c>
      <c r="G18" s="99"/>
      <c r="H18" s="99"/>
      <c r="I18" s="99"/>
      <c r="J18" s="99"/>
      <c r="K18" s="99"/>
      <c r="L18" s="99"/>
      <c r="M18" s="99"/>
      <c r="N18" s="99"/>
      <c r="O18" s="99"/>
      <c r="P18" s="99"/>
      <c r="Q18" s="282"/>
    </row>
    <row r="19" spans="1:17" ht="15.5" hidden="1">
      <c r="A19" s="192"/>
      <c r="B19" s="163"/>
      <c r="C19" s="184"/>
      <c r="D19" s="148"/>
      <c r="E19" s="200"/>
      <c r="F19" s="198"/>
      <c r="G19" s="99"/>
      <c r="H19" s="99"/>
      <c r="I19" s="99"/>
      <c r="J19" s="99"/>
      <c r="K19" s="99"/>
      <c r="L19" s="99"/>
      <c r="M19" s="99"/>
      <c r="N19" s="99"/>
      <c r="O19" s="99"/>
      <c r="P19" s="99"/>
      <c r="Q19" s="282"/>
    </row>
    <row r="20" spans="1:17" ht="15.5" hidden="1">
      <c r="A20" s="201">
        <f>'ATT H-2A'!A27</f>
        <v>9</v>
      </c>
      <c r="B20" s="174"/>
      <c r="C20" s="138" t="str">
        <f>'ATT H-2A'!C27</f>
        <v>Accumulated Depreciation (Total Electric Plant)</v>
      </c>
      <c r="D20" s="84"/>
      <c r="E20" s="139"/>
      <c r="F20" s="196" t="str">
        <f>'ATT H-2A'!F27</f>
        <v>p219.29c (See Attachment 9A, line 42, column b)</v>
      </c>
      <c r="G20" s="99"/>
      <c r="H20" s="99"/>
      <c r="I20" s="99"/>
      <c r="J20" s="99"/>
      <c r="K20" s="99"/>
      <c r="L20" s="99"/>
      <c r="M20" s="99"/>
      <c r="N20" s="99"/>
      <c r="O20" s="99"/>
      <c r="P20" s="99"/>
      <c r="Q20" s="282"/>
    </row>
    <row r="21" spans="1:17" ht="15.5">
      <c r="A21" s="201">
        <f>'ATT H-2A'!A28</f>
        <v>10</v>
      </c>
      <c r="B21" s="174"/>
      <c r="C21" s="138" t="str">
        <f>'ATT H-2A'!C28</f>
        <v>Accumulated Intangible Amortization</v>
      </c>
      <c r="D21" s="84"/>
      <c r="E21" s="147" t="str">
        <f>'ATT H-2A'!E28</f>
        <v>(Note A)</v>
      </c>
      <c r="F21" s="191" t="str">
        <f>'ATT H-2A'!F28</f>
        <v>p200.21c (See Attachment 9, line 16, column h)</v>
      </c>
      <c r="G21" s="134" t="s">
        <v>451</v>
      </c>
      <c r="H21" s="99"/>
      <c r="I21" s="99"/>
      <c r="J21" s="99"/>
      <c r="K21" s="99"/>
      <c r="L21" s="99"/>
      <c r="M21" s="99"/>
      <c r="N21" s="99"/>
      <c r="O21" s="99"/>
      <c r="P21" s="99"/>
      <c r="Q21" s="282"/>
    </row>
    <row r="22" spans="1:17" ht="15.5">
      <c r="A22" s="201">
        <f>'ATT H-2A'!A29</f>
        <v>11</v>
      </c>
      <c r="B22" s="174"/>
      <c r="C22" s="138" t="str">
        <f>'ATT H-2A'!C29</f>
        <v>Accumulated Common Amortization - Electric</v>
      </c>
      <c r="D22" s="84"/>
      <c r="E22" s="147" t="str">
        <f>'ATT H-2A'!E29</f>
        <v>(Note A)</v>
      </c>
      <c r="F22" s="191" t="str">
        <f>'ATT H-2A'!F29</f>
        <v>p356 (See Attachment 9, line 16, column i)</v>
      </c>
      <c r="G22" s="134" t="s">
        <v>451</v>
      </c>
      <c r="H22" s="99"/>
      <c r="I22" s="99"/>
      <c r="J22" s="99"/>
      <c r="K22" s="99"/>
      <c r="L22" s="99"/>
      <c r="M22" s="99"/>
      <c r="N22" s="99"/>
      <c r="O22" s="99"/>
      <c r="P22" s="99"/>
      <c r="Q22" s="282"/>
    </row>
    <row r="23" spans="1:17" ht="15.5">
      <c r="A23" s="201">
        <f>'ATT H-2A'!A30</f>
        <v>12</v>
      </c>
      <c r="B23" s="84"/>
      <c r="C23" s="148" t="str">
        <f>'ATT H-2A'!C30</f>
        <v>Accumulated Common Plant Depreciation - Electric</v>
      </c>
      <c r="D23" s="84"/>
      <c r="E23" s="147" t="str">
        <f>'ATT H-2A'!E30</f>
        <v>(Note A)</v>
      </c>
      <c r="F23" s="191" t="str">
        <f>'ATT H-2A'!F30</f>
        <v>p356 (See Attachment 9, line 16, column g)</v>
      </c>
      <c r="G23" s="134" t="s">
        <v>451</v>
      </c>
      <c r="H23" s="99"/>
      <c r="I23" s="99"/>
      <c r="J23" s="99"/>
      <c r="K23" s="99"/>
      <c r="L23" s="99"/>
      <c r="M23" s="99"/>
      <c r="N23" s="99"/>
      <c r="O23" s="99"/>
      <c r="P23" s="99"/>
      <c r="Q23" s="282"/>
    </row>
    <row r="24" spans="1:17" ht="15.5" hidden="1">
      <c r="A24" s="201">
        <f>'ATT H-2A'!A31</f>
        <v>13</v>
      </c>
      <c r="B24" s="84"/>
      <c r="C24" s="138" t="str">
        <f>'ATT H-2A'!C31</f>
        <v>Total Accumulated Depreciation</v>
      </c>
      <c r="D24" s="84"/>
      <c r="E24" s="139"/>
      <c r="F24" s="191" t="str">
        <f>'ATT H-2A'!F31</f>
        <v>(Sum Lines 9 to 12)</v>
      </c>
      <c r="G24" s="99"/>
      <c r="H24" s="99"/>
      <c r="I24" s="99"/>
      <c r="J24" s="99"/>
      <c r="K24" s="99"/>
      <c r="L24" s="99"/>
      <c r="M24" s="99"/>
      <c r="N24" s="99"/>
      <c r="O24" s="99"/>
      <c r="P24" s="99"/>
      <c r="Q24" s="282"/>
    </row>
    <row r="25" spans="1:17" ht="15.5" hidden="1">
      <c r="A25" s="192"/>
      <c r="B25" s="163"/>
      <c r="C25" s="184"/>
      <c r="D25" s="148"/>
      <c r="E25" s="200"/>
      <c r="F25" s="198"/>
      <c r="G25" s="99"/>
      <c r="H25" s="99"/>
      <c r="I25" s="99"/>
      <c r="J25" s="99"/>
      <c r="K25" s="99"/>
      <c r="L25" s="99"/>
      <c r="M25" s="99"/>
      <c r="N25" s="99"/>
      <c r="O25" s="99"/>
      <c r="P25" s="99"/>
      <c r="Q25" s="282"/>
    </row>
    <row r="26" spans="1:17" ht="15.5" hidden="1">
      <c r="A26" s="192">
        <f>'ATT H-2A'!A33</f>
        <v>14</v>
      </c>
      <c r="B26" s="174"/>
      <c r="C26" s="174" t="str">
        <f>'ATT H-2A'!C33</f>
        <v>Net Plant</v>
      </c>
      <c r="D26" s="174"/>
      <c r="E26" s="139"/>
      <c r="F26" s="191" t="str">
        <f>'ATT H-2A'!F33</f>
        <v>(Line 8 - 13)</v>
      </c>
      <c r="G26" s="99"/>
      <c r="H26" s="99"/>
      <c r="I26" s="99"/>
      <c r="J26" s="99"/>
      <c r="K26" s="99"/>
      <c r="L26" s="99"/>
      <c r="M26" s="99"/>
      <c r="N26" s="99"/>
      <c r="O26" s="99"/>
      <c r="P26" s="99"/>
      <c r="Q26" s="282"/>
    </row>
    <row r="27" spans="1:17" ht="15.5" hidden="1">
      <c r="A27" s="192"/>
      <c r="B27" s="163"/>
      <c r="C27" s="184"/>
      <c r="D27" s="148"/>
      <c r="E27" s="200"/>
      <c r="F27" s="198"/>
      <c r="G27" s="99"/>
      <c r="H27" s="99"/>
      <c r="I27" s="99"/>
      <c r="J27" s="99"/>
      <c r="K27" s="99"/>
      <c r="L27" s="99"/>
      <c r="M27" s="99"/>
      <c r="N27" s="99"/>
      <c r="O27" s="99"/>
      <c r="P27" s="99"/>
      <c r="Q27" s="282"/>
    </row>
    <row r="28" spans="1:17" ht="15.5" hidden="1">
      <c r="A28" s="201">
        <f>'ATT H-2A'!A35</f>
        <v>15</v>
      </c>
      <c r="B28" s="174"/>
      <c r="C28" s="174" t="str">
        <f>'ATT H-2A'!C35</f>
        <v>Transmission Gross Plant</v>
      </c>
      <c r="D28" s="174"/>
      <c r="E28" s="139"/>
      <c r="F28" s="191" t="str">
        <f>'ATT H-2A'!F35</f>
        <v>(Line 29 - Line 28)</v>
      </c>
      <c r="G28" s="99"/>
      <c r="H28" s="99"/>
      <c r="I28" s="99"/>
      <c r="J28" s="99"/>
      <c r="K28" s="99"/>
      <c r="L28" s="99"/>
      <c r="M28" s="99"/>
      <c r="N28" s="99"/>
      <c r="O28" s="99"/>
      <c r="P28" s="99"/>
      <c r="Q28" s="282"/>
    </row>
    <row r="29" spans="1:17" ht="15.5" hidden="1">
      <c r="A29" s="192">
        <f>'ATT H-2A'!A36</f>
        <v>16</v>
      </c>
      <c r="B29" s="223" t="str">
        <f>'ATT H-2A'!B36</f>
        <v>Gross Plant Allocator</v>
      </c>
      <c r="C29" s="223"/>
      <c r="D29" s="174"/>
      <c r="E29" s="139"/>
      <c r="F29" s="191" t="str">
        <f>'ATT H-2A'!F36</f>
        <v>(Line 15 / 8)</v>
      </c>
      <c r="G29" s="99"/>
      <c r="H29" s="99"/>
      <c r="I29" s="99"/>
      <c r="J29" s="99"/>
      <c r="K29" s="99"/>
      <c r="L29" s="99"/>
      <c r="M29" s="99"/>
      <c r="N29" s="99"/>
      <c r="O29" s="99"/>
      <c r="P29" s="99"/>
      <c r="Q29" s="282"/>
    </row>
    <row r="30" spans="1:17" ht="15.5" hidden="1">
      <c r="A30" s="194"/>
      <c r="B30" s="84"/>
      <c r="C30" s="84"/>
      <c r="D30" s="84"/>
      <c r="E30" s="139"/>
      <c r="F30" s="195"/>
      <c r="G30" s="99"/>
      <c r="H30" s="99"/>
      <c r="I30" s="99"/>
      <c r="J30" s="99"/>
      <c r="K30" s="99"/>
      <c r="L30" s="99"/>
      <c r="M30" s="99"/>
      <c r="N30" s="99"/>
      <c r="O30" s="99"/>
      <c r="P30" s="99"/>
      <c r="Q30" s="282"/>
    </row>
    <row r="31" spans="1:17" ht="15.5" hidden="1">
      <c r="A31" s="201">
        <f>'ATT H-2A'!A38</f>
        <v>17</v>
      </c>
      <c r="B31" s="163"/>
      <c r="C31" s="159" t="str">
        <f>'ATT H-2A'!C38</f>
        <v>Transmission Net Plant</v>
      </c>
      <c r="D31" s="148"/>
      <c r="E31" s="200"/>
      <c r="F31" s="191" t="str">
        <f>'ATT H-2A'!F38</f>
        <v>(Line 39 - Line 28)</v>
      </c>
      <c r="G31" s="99"/>
      <c r="H31" s="99"/>
      <c r="I31" s="99"/>
      <c r="J31" s="99"/>
      <c r="K31" s="99"/>
      <c r="L31" s="99"/>
      <c r="M31" s="99"/>
      <c r="N31" s="99"/>
      <c r="O31" s="99"/>
      <c r="P31" s="99"/>
      <c r="Q31" s="282"/>
    </row>
    <row r="32" spans="1:17" ht="15.5" hidden="1">
      <c r="A32" s="192">
        <f>'ATT H-2A'!A39</f>
        <v>18</v>
      </c>
      <c r="B32" s="223" t="str">
        <f>'ATT H-2A'!B39</f>
        <v>Net Plant Allocator</v>
      </c>
      <c r="C32" s="223"/>
      <c r="D32" s="174"/>
      <c r="E32" s="139"/>
      <c r="F32" s="191" t="str">
        <f>'ATT H-2A'!F39</f>
        <v>(Line 17 / 14)</v>
      </c>
      <c r="G32" s="99"/>
      <c r="H32" s="99"/>
      <c r="I32" s="99"/>
      <c r="J32" s="99"/>
      <c r="K32" s="99"/>
      <c r="L32" s="99"/>
      <c r="M32" s="99"/>
      <c r="N32" s="99"/>
      <c r="O32" s="99"/>
      <c r="P32" s="99"/>
      <c r="Q32" s="282"/>
    </row>
    <row r="33" spans="1:17" ht="15.5" hidden="1">
      <c r="A33" s="203"/>
      <c r="B33" s="163"/>
      <c r="C33" s="184"/>
      <c r="D33" s="148"/>
      <c r="E33" s="200"/>
      <c r="F33" s="198"/>
      <c r="G33" s="99"/>
      <c r="H33" s="99"/>
      <c r="I33" s="99"/>
      <c r="J33" s="99"/>
      <c r="K33" s="99"/>
      <c r="L33" s="99"/>
      <c r="M33" s="99"/>
      <c r="N33" s="99"/>
      <c r="O33" s="99"/>
      <c r="P33" s="99"/>
      <c r="Q33" s="282"/>
    </row>
    <row r="34" spans="1:17" ht="15.5" hidden="1">
      <c r="A34" s="204" t="str">
        <f>'ATT H-2A'!A41</f>
        <v>Plant Calculations</v>
      </c>
      <c r="B34" s="149"/>
      <c r="C34" s="150"/>
      <c r="D34" s="150"/>
      <c r="E34" s="151"/>
      <c r="F34" s="205"/>
      <c r="G34" s="99"/>
      <c r="H34" s="99"/>
      <c r="I34" s="99"/>
      <c r="J34" s="99"/>
      <c r="K34" s="99"/>
      <c r="L34" s="99"/>
      <c r="M34" s="99"/>
      <c r="N34" s="99"/>
      <c r="O34" s="99"/>
      <c r="P34" s="99"/>
      <c r="Q34" s="282"/>
    </row>
    <row r="35" spans="1:17" ht="15.5" hidden="1">
      <c r="A35" s="206">
        <f>'ATT H-2A'!A42</f>
        <v>0</v>
      </c>
      <c r="B35" s="152"/>
      <c r="C35" s="148"/>
      <c r="D35" s="148"/>
      <c r="E35" s="153"/>
      <c r="F35" s="196"/>
      <c r="G35" s="99"/>
      <c r="H35" s="99"/>
      <c r="I35" s="99"/>
      <c r="J35" s="99"/>
      <c r="K35" s="99"/>
      <c r="L35" s="99"/>
      <c r="M35" s="99"/>
      <c r="N35" s="99"/>
      <c r="O35" s="99"/>
      <c r="P35" s="99"/>
      <c r="Q35" s="282"/>
    </row>
    <row r="36" spans="1:17" ht="15.5">
      <c r="A36" s="194"/>
      <c r="B36" s="184" t="str">
        <f>'ATT H-2A'!B43</f>
        <v>Plant In Service</v>
      </c>
      <c r="C36" s="84"/>
      <c r="D36" s="84"/>
      <c r="E36" s="200"/>
      <c r="F36" s="202"/>
      <c r="G36" s="99"/>
      <c r="H36" s="99"/>
      <c r="I36" s="99"/>
      <c r="J36" s="99"/>
      <c r="K36" s="99"/>
      <c r="L36" s="99"/>
      <c r="M36" s="99"/>
      <c r="N36" s="99"/>
      <c r="O36" s="99"/>
      <c r="P36" s="99"/>
      <c r="Q36" s="282"/>
    </row>
    <row r="37" spans="1:17" ht="15.5">
      <c r="A37" s="201">
        <f>'ATT H-2A'!A44</f>
        <v>19</v>
      </c>
      <c r="B37" s="163"/>
      <c r="C37" s="170" t="str">
        <f>'ATT H-2A'!C44</f>
        <v>Transmission Plant In Service</v>
      </c>
      <c r="D37" s="84"/>
      <c r="E37" s="147">
        <f>'ATT H-2A'!E44</f>
        <v>0</v>
      </c>
      <c r="F37" s="202" t="str">
        <f>'ATT H-2A'!F44</f>
        <v>p207.58.g (See Attachment 9, line 16, column b and Attachment 9a, line 14, column f)</v>
      </c>
      <c r="G37" s="99"/>
      <c r="H37" s="134" t="s">
        <v>451</v>
      </c>
      <c r="I37" s="99"/>
      <c r="J37" s="99"/>
      <c r="K37" s="99"/>
      <c r="L37" s="99"/>
      <c r="M37" s="99"/>
      <c r="N37" s="99"/>
      <c r="O37" s="99"/>
      <c r="P37" s="99"/>
      <c r="Q37" s="282"/>
    </row>
    <row r="38" spans="1:17" ht="15.5">
      <c r="A38" s="201">
        <f>'ATT H-2A'!A46</f>
        <v>21</v>
      </c>
      <c r="B38" s="163"/>
      <c r="C38" s="155" t="str">
        <f>'ATT H-2A'!C46</f>
        <v>This Line Intentionally Left Blank</v>
      </c>
      <c r="D38" s="84"/>
      <c r="E38" s="147">
        <f>'ATT H-2A'!F46</f>
        <v>0</v>
      </c>
      <c r="F38" s="202"/>
      <c r="G38" s="99"/>
      <c r="H38" s="134" t="s">
        <v>451</v>
      </c>
      <c r="I38" s="99"/>
      <c r="J38" s="99"/>
      <c r="K38" s="99"/>
      <c r="L38" s="99"/>
      <c r="M38" s="99"/>
      <c r="N38" s="99"/>
      <c r="O38" s="99"/>
      <c r="P38" s="99"/>
      <c r="Q38" s="282"/>
    </row>
    <row r="39" spans="1:17" ht="15.5" hidden="1">
      <c r="A39" s="201">
        <f>'ATT H-2A'!A49</f>
        <v>23</v>
      </c>
      <c r="B39" s="163"/>
      <c r="C39" s="155" t="str">
        <f>'ATT H-2A'!C49</f>
        <v>General &amp; Intangible</v>
      </c>
      <c r="D39" s="84"/>
      <c r="E39" s="139"/>
      <c r="F39" s="202" t="str">
        <f>'ATT H-2A'!F49</f>
        <v>p205.5.g &amp; p207.99.g (See Attachment 9, line 16, column c less Attachment 9a, line 14, columns q and r)</v>
      </c>
      <c r="G39" s="99"/>
      <c r="H39" s="99"/>
      <c r="I39" s="99"/>
      <c r="J39" s="99"/>
      <c r="K39" s="99"/>
      <c r="L39" s="99"/>
      <c r="M39" s="99"/>
      <c r="N39" s="99"/>
      <c r="O39" s="99"/>
      <c r="P39" s="99"/>
      <c r="Q39" s="282"/>
    </row>
    <row r="40" spans="1:17" ht="15.5">
      <c r="A40" s="201">
        <f>'ATT H-2A'!A50</f>
        <v>24</v>
      </c>
      <c r="B40" s="163"/>
      <c r="C40" s="155" t="str">
        <f>'ATT H-2A'!C50</f>
        <v>Common Plant (Electric Only)</v>
      </c>
      <c r="D40" s="84"/>
      <c r="E40" s="147" t="str">
        <f>'ATT H-2A'!E50</f>
        <v>(Notes A)</v>
      </c>
      <c r="F40" s="202" t="str">
        <f>'ATT H-2A'!F50</f>
        <v>p356 (See Attachment 9, line 16, column d)</v>
      </c>
      <c r="G40" s="134" t="s">
        <v>451</v>
      </c>
      <c r="H40" s="134" t="s">
        <v>451</v>
      </c>
      <c r="I40" s="99"/>
      <c r="J40" s="99"/>
      <c r="K40" s="99"/>
      <c r="L40" s="99"/>
      <c r="M40" s="99"/>
      <c r="N40" s="99"/>
      <c r="O40" s="99"/>
      <c r="P40" s="99"/>
      <c r="Q40" s="282"/>
    </row>
    <row r="41" spans="1:17" ht="15.5" hidden="1">
      <c r="A41" s="201">
        <f>'ATT H-2A'!A51</f>
        <v>25</v>
      </c>
      <c r="B41" s="163"/>
      <c r="C41" s="155" t="str">
        <f>'ATT H-2A'!C51</f>
        <v>Total General &amp; Common</v>
      </c>
      <c r="D41" s="84"/>
      <c r="E41" s="139"/>
      <c r="F41" s="191" t="str">
        <f>'ATT H-2A'!F51</f>
        <v>(Line 23 + 24)</v>
      </c>
      <c r="G41" s="99"/>
      <c r="H41" s="99"/>
      <c r="I41" s="99"/>
      <c r="J41" s="99"/>
      <c r="K41" s="99"/>
      <c r="L41" s="99"/>
      <c r="M41" s="99"/>
      <c r="N41" s="99"/>
      <c r="O41" s="99"/>
      <c r="P41" s="99"/>
      <c r="Q41" s="282"/>
    </row>
    <row r="42" spans="1:17" ht="15.5" hidden="1">
      <c r="A42" s="201">
        <f>'ATT H-2A'!A52</f>
        <v>26</v>
      </c>
      <c r="B42" s="163"/>
      <c r="C42" s="165" t="str">
        <f>'ATT H-2A'!C52</f>
        <v>Wage &amp; Salary Allocation Factor</v>
      </c>
      <c r="D42" s="159"/>
      <c r="E42" s="200"/>
      <c r="F42" s="191" t="str">
        <f>'ATT H-2A'!F52</f>
        <v>(Line 5)</v>
      </c>
      <c r="G42" s="99"/>
      <c r="H42" s="99"/>
      <c r="I42" s="99"/>
      <c r="J42" s="99"/>
      <c r="K42" s="99"/>
      <c r="L42" s="99"/>
      <c r="M42" s="99"/>
      <c r="N42" s="99"/>
      <c r="O42" s="99"/>
      <c r="P42" s="99"/>
      <c r="Q42" s="282"/>
    </row>
    <row r="43" spans="1:17" ht="15.5" hidden="1">
      <c r="A43" s="201">
        <f>'ATT H-2A'!A53</f>
        <v>27</v>
      </c>
      <c r="B43" s="174"/>
      <c r="C43" s="184" t="str">
        <f>'ATT H-2A'!C53</f>
        <v>General &amp; Common Plant Allocated to Transmission</v>
      </c>
      <c r="D43" s="138"/>
      <c r="E43" s="156"/>
      <c r="F43" s="191" t="str">
        <f>'ATT H-2A'!F53</f>
        <v>(Line 25 * 26)</v>
      </c>
      <c r="G43" s="99"/>
      <c r="H43" s="99"/>
      <c r="I43" s="99"/>
      <c r="J43" s="99"/>
      <c r="K43" s="99"/>
      <c r="L43" s="99"/>
      <c r="M43" s="99"/>
      <c r="N43" s="99"/>
      <c r="O43" s="99"/>
      <c r="P43" s="99"/>
      <c r="Q43" s="282"/>
    </row>
    <row r="44" spans="1:17" ht="15.5" hidden="1">
      <c r="A44" s="192"/>
      <c r="B44" s="163"/>
      <c r="C44" s="184"/>
      <c r="D44" s="148"/>
      <c r="E44" s="200"/>
      <c r="F44" s="198"/>
      <c r="G44" s="99"/>
      <c r="H44" s="99"/>
      <c r="I44" s="99"/>
      <c r="J44" s="99"/>
      <c r="K44" s="99"/>
      <c r="L44" s="99"/>
      <c r="M44" s="99"/>
      <c r="N44" s="99"/>
      <c r="O44" s="99"/>
      <c r="P44" s="99"/>
      <c r="Q44" s="282"/>
    </row>
    <row r="45" spans="1:17" ht="15.5">
      <c r="A45" s="201">
        <f>'ATT H-2A'!A55</f>
        <v>28</v>
      </c>
      <c r="B45" s="163"/>
      <c r="C45" s="184" t="str">
        <f>'ATT H-2A'!C55</f>
        <v>Plant Held for Future Use (Including Land)</v>
      </c>
      <c r="D45" s="241"/>
      <c r="E45" s="161" t="str">
        <f>'ATT H-2A'!E55</f>
        <v>(Note C)</v>
      </c>
      <c r="F45" s="191" t="str">
        <f>'ATT H-2A'!F55</f>
        <v>p214 (See Attachment 9, line 30, column c)</v>
      </c>
      <c r="G45" s="99"/>
      <c r="H45" s="99"/>
      <c r="I45" s="134" t="s">
        <v>451</v>
      </c>
      <c r="J45" s="99"/>
      <c r="K45" s="99"/>
      <c r="L45" s="99"/>
      <c r="M45" s="99"/>
      <c r="N45" s="99"/>
      <c r="O45" s="99"/>
      <c r="P45" s="99"/>
      <c r="Q45" s="282"/>
    </row>
    <row r="46" spans="1:17" ht="15.5" hidden="1">
      <c r="A46" s="192"/>
      <c r="B46" s="163"/>
      <c r="C46" s="184"/>
      <c r="D46" s="148"/>
      <c r="E46" s="200"/>
      <c r="F46" s="198"/>
      <c r="G46" s="99"/>
      <c r="H46" s="99"/>
      <c r="I46" s="99"/>
      <c r="J46" s="99"/>
      <c r="K46" s="99"/>
      <c r="L46" s="99"/>
      <c r="M46" s="99"/>
      <c r="N46" s="99"/>
      <c r="O46" s="99"/>
      <c r="P46" s="99"/>
      <c r="Q46" s="282"/>
    </row>
    <row r="47" spans="1:17" ht="15.5" hidden="1">
      <c r="A47" s="201">
        <f>'ATT H-2A'!A57</f>
        <v>29</v>
      </c>
      <c r="B47" s="223" t="str">
        <f>'ATT H-2A'!B57</f>
        <v>TOTAL Plant In Service</v>
      </c>
      <c r="C47" s="223"/>
      <c r="D47" s="223"/>
      <c r="E47" s="172"/>
      <c r="F47" s="236" t="str">
        <f>'ATT H-2A'!F57</f>
        <v>(Line 22 + 27 + 28)</v>
      </c>
      <c r="G47" s="99"/>
      <c r="H47" s="99"/>
      <c r="I47" s="99"/>
      <c r="J47" s="99"/>
      <c r="K47" s="99"/>
      <c r="L47" s="99"/>
      <c r="M47" s="99"/>
      <c r="N47" s="99"/>
      <c r="O47" s="99"/>
      <c r="P47" s="99"/>
      <c r="Q47" s="282"/>
    </row>
    <row r="48" spans="1:17" ht="15.5" hidden="1">
      <c r="A48" s="192"/>
      <c r="B48" s="163"/>
      <c r="C48" s="184"/>
      <c r="D48" s="148"/>
      <c r="E48" s="200"/>
      <c r="F48" s="198"/>
      <c r="G48" s="99"/>
      <c r="H48" s="99"/>
      <c r="I48" s="99"/>
      <c r="J48" s="99"/>
      <c r="K48" s="99"/>
      <c r="L48" s="99"/>
      <c r="M48" s="99"/>
      <c r="N48" s="99"/>
      <c r="O48" s="99"/>
      <c r="P48" s="99"/>
      <c r="Q48" s="282"/>
    </row>
    <row r="49" spans="1:17" ht="15.5">
      <c r="A49" s="201"/>
      <c r="B49" s="184" t="str">
        <f>'ATT H-2A'!B59</f>
        <v>Accumulated Depreciation</v>
      </c>
      <c r="C49" s="184"/>
      <c r="D49" s="158"/>
      <c r="E49" s="156"/>
      <c r="F49" s="191"/>
      <c r="G49" s="99"/>
      <c r="H49" s="99"/>
      <c r="I49" s="99"/>
      <c r="J49" s="99"/>
      <c r="K49" s="99"/>
      <c r="L49" s="99"/>
      <c r="M49" s="99"/>
      <c r="N49" s="99"/>
      <c r="O49" s="99"/>
      <c r="P49" s="99"/>
      <c r="Q49" s="282"/>
    </row>
    <row r="50" spans="1:17" ht="15.5" hidden="1">
      <c r="A50" s="192"/>
      <c r="B50" s="163"/>
      <c r="C50" s="184"/>
      <c r="D50" s="148"/>
      <c r="E50" s="200"/>
      <c r="F50" s="198"/>
      <c r="G50" s="99"/>
      <c r="H50" s="99"/>
      <c r="I50" s="99"/>
      <c r="J50" s="99"/>
      <c r="K50" s="99"/>
      <c r="L50" s="99"/>
      <c r="M50" s="99"/>
      <c r="N50" s="99"/>
      <c r="O50" s="99"/>
      <c r="P50" s="99"/>
      <c r="Q50" s="282"/>
    </row>
    <row r="51" spans="1:17" ht="15.5" hidden="1">
      <c r="A51" s="201">
        <f>'ATT H-2A'!A61</f>
        <v>30</v>
      </c>
      <c r="B51" s="163"/>
      <c r="C51" s="170" t="str">
        <f>'ATT H-2A'!C61</f>
        <v>Transmission Accumulated Depreciation</v>
      </c>
      <c r="D51" s="84"/>
      <c r="E51" s="139"/>
      <c r="F51" s="202" t="str">
        <f>'ATT H-2A'!F61</f>
        <v>p219.25.c (See Attachment 9, line 16, column e and Attachment 9a, line 42, column g)</v>
      </c>
      <c r="G51" s="99"/>
      <c r="H51" s="99"/>
      <c r="I51" s="99"/>
      <c r="J51" s="99"/>
      <c r="K51" s="99"/>
      <c r="L51" s="99"/>
      <c r="M51" s="99"/>
      <c r="N51" s="99"/>
      <c r="O51" s="99"/>
      <c r="P51" s="99"/>
      <c r="Q51" s="282"/>
    </row>
    <row r="52" spans="1:17" ht="15.5">
      <c r="A52" s="201">
        <f>'ATT H-2A'!A61</f>
        <v>30</v>
      </c>
      <c r="B52" s="163"/>
      <c r="C52" s="155" t="str">
        <f>'ATT H-2A'!C61</f>
        <v>Transmission Accumulated Depreciation</v>
      </c>
      <c r="D52" s="84"/>
      <c r="E52" s="245">
        <f>'ATT H-2A'!E61</f>
        <v>0</v>
      </c>
      <c r="F52" s="231" t="str">
        <f>'ATT H-2A'!F61</f>
        <v>p219.25.c (See Attachment 9, line 16, column e and Attachment 9a, line 42, column g)</v>
      </c>
      <c r="G52" s="99"/>
      <c r="H52" s="134" t="s">
        <v>451</v>
      </c>
      <c r="I52" s="99"/>
      <c r="J52" s="99"/>
      <c r="K52" s="99"/>
      <c r="L52" s="99"/>
      <c r="M52" s="99"/>
      <c r="N52" s="99"/>
      <c r="O52" s="99"/>
      <c r="P52" s="99"/>
      <c r="Q52" s="282"/>
    </row>
    <row r="53" spans="1:17" ht="15.5" hidden="1">
      <c r="A53" s="201">
        <f>'ATT H-2A'!A63</f>
        <v>31</v>
      </c>
      <c r="B53" s="163"/>
      <c r="C53" s="155" t="str">
        <f>'ATT H-2A'!C63</f>
        <v>Accumulated General Depreciation</v>
      </c>
      <c r="D53" s="84"/>
      <c r="E53" s="139"/>
      <c r="F53" s="202" t="str">
        <f>'ATT H-2A'!F63</f>
        <v>p219.28.c (See attachment 9, line 16, column f)</v>
      </c>
      <c r="G53" s="99"/>
      <c r="H53" s="99"/>
      <c r="I53" s="99"/>
      <c r="J53" s="99"/>
      <c r="K53" s="99"/>
      <c r="L53" s="99"/>
      <c r="M53" s="99"/>
      <c r="N53" s="99"/>
      <c r="O53" s="99"/>
      <c r="P53" s="99"/>
      <c r="Q53" s="282"/>
    </row>
    <row r="54" spans="1:17" ht="15.5" hidden="1">
      <c r="A54" s="201">
        <f>'ATT H-2A'!A64</f>
        <v>32</v>
      </c>
      <c r="B54" s="163"/>
      <c r="C54" s="155" t="str">
        <f>'ATT H-2A'!C64</f>
        <v>Accumulated Intangible Amortization</v>
      </c>
      <c r="D54" s="84"/>
      <c r="E54" s="139"/>
      <c r="F54" s="191" t="str">
        <f>'ATT H-2A'!F64</f>
        <v>p200.21c (See Attachment 9, line 16, column h less Attachment 9a, line 42, columns f and g)</v>
      </c>
      <c r="G54" s="99"/>
      <c r="H54" s="99"/>
      <c r="I54" s="99"/>
      <c r="J54" s="99"/>
      <c r="K54" s="99"/>
      <c r="L54" s="99"/>
      <c r="M54" s="99"/>
      <c r="N54" s="99"/>
      <c r="O54" s="99"/>
      <c r="P54" s="99"/>
      <c r="Q54" s="282"/>
    </row>
    <row r="55" spans="1:17" ht="15.5">
      <c r="A55" s="201">
        <f>'ATT H-2A'!A65</f>
        <v>33</v>
      </c>
      <c r="B55" s="163"/>
      <c r="C55" s="155" t="str">
        <f>'ATT H-2A'!C65</f>
        <v>Accumulated Common Amortization - Electric</v>
      </c>
      <c r="D55" s="84"/>
      <c r="E55" s="147">
        <f>'ATT H-2A'!E65</f>
        <v>0</v>
      </c>
      <c r="F55" s="191" t="str">
        <f>'ATT H-2A'!F65</f>
        <v>(Line 11)</v>
      </c>
      <c r="G55" s="134" t="s">
        <v>451</v>
      </c>
      <c r="H55" s="99"/>
      <c r="I55" s="99"/>
      <c r="J55" s="99"/>
      <c r="K55" s="99"/>
      <c r="L55" s="99"/>
      <c r="M55" s="99"/>
      <c r="N55" s="99"/>
      <c r="O55" s="99"/>
      <c r="P55" s="99"/>
      <c r="Q55" s="282"/>
    </row>
    <row r="56" spans="1:17" ht="15.5">
      <c r="A56" s="201">
        <f>'ATT H-2A'!A66</f>
        <v>34</v>
      </c>
      <c r="B56" s="163"/>
      <c r="C56" s="155" t="str">
        <f>'ATT H-2A'!C66</f>
        <v>Common Plant Accumulated Depreciation (Electric Only)</v>
      </c>
      <c r="D56" s="84"/>
      <c r="E56" s="147" t="str">
        <f>'ATT H-2A'!E66</f>
        <v>(Notes A)</v>
      </c>
      <c r="F56" s="191" t="str">
        <f>'ATT H-2A'!F66</f>
        <v>(Line 12)</v>
      </c>
      <c r="G56" s="134" t="s">
        <v>451</v>
      </c>
      <c r="H56" s="99"/>
      <c r="I56" s="99"/>
      <c r="J56" s="99"/>
      <c r="K56" s="99"/>
      <c r="L56" s="99"/>
      <c r="M56" s="99"/>
      <c r="N56" s="99"/>
      <c r="O56" s="99"/>
      <c r="P56" s="99"/>
      <c r="Q56" s="282"/>
    </row>
    <row r="57" spans="1:17" ht="15.5" hidden="1">
      <c r="A57" s="201">
        <f>'ATT H-2A'!A67</f>
        <v>35</v>
      </c>
      <c r="B57" s="163"/>
      <c r="C57" s="155" t="str">
        <f>'ATT H-2A'!C67</f>
        <v>Total Accumulated Depreciation</v>
      </c>
      <c r="D57" s="84"/>
      <c r="E57" s="156"/>
      <c r="F57" s="191" t="str">
        <f>'ATT H-2A'!F67</f>
        <v>(Sum Lines 31 to 34)</v>
      </c>
      <c r="G57" s="99"/>
      <c r="H57" s="99"/>
      <c r="I57" s="99"/>
      <c r="J57" s="99"/>
      <c r="K57" s="99"/>
      <c r="L57" s="99"/>
      <c r="M57" s="99"/>
      <c r="N57" s="99"/>
      <c r="O57" s="99"/>
      <c r="P57" s="99"/>
      <c r="Q57" s="282"/>
    </row>
    <row r="58" spans="1:17" ht="15.5" hidden="1">
      <c r="A58" s="201">
        <f>'ATT H-2A'!A68</f>
        <v>36</v>
      </c>
      <c r="B58" s="163"/>
      <c r="C58" s="155" t="str">
        <f>'ATT H-2A'!C68</f>
        <v>Wage &amp; Salary Allocation Factor</v>
      </c>
      <c r="D58" s="84"/>
      <c r="E58" s="156"/>
      <c r="F58" s="191" t="str">
        <f>'ATT H-2A'!F68</f>
        <v>(Line 5)</v>
      </c>
      <c r="G58" s="99"/>
      <c r="H58" s="99"/>
      <c r="I58" s="99"/>
      <c r="J58" s="99"/>
      <c r="K58" s="99"/>
      <c r="L58" s="99"/>
      <c r="M58" s="99"/>
      <c r="N58" s="99"/>
      <c r="O58" s="99"/>
      <c r="P58" s="99"/>
      <c r="Q58" s="282"/>
    </row>
    <row r="59" spans="1:17" ht="15.5" hidden="1">
      <c r="A59" s="201">
        <f>'ATT H-2A'!A69</f>
        <v>37</v>
      </c>
      <c r="B59" s="174"/>
      <c r="C59" s="170" t="str">
        <f>'ATT H-2A'!C69</f>
        <v>General &amp; Common Allocated to Transmission</v>
      </c>
      <c r="D59" s="174"/>
      <c r="E59" s="139"/>
      <c r="F59" s="191" t="str">
        <f>'ATT H-2A'!F69</f>
        <v>(Line 35 * 36)</v>
      </c>
      <c r="G59" s="99"/>
      <c r="H59" s="99"/>
      <c r="I59" s="99"/>
      <c r="J59" s="99"/>
      <c r="K59" s="99"/>
      <c r="L59" s="99"/>
      <c r="M59" s="99"/>
      <c r="N59" s="99"/>
      <c r="O59" s="99"/>
      <c r="P59" s="99"/>
      <c r="Q59" s="282"/>
    </row>
    <row r="60" spans="1:17" ht="15.5" hidden="1">
      <c r="A60" s="192"/>
      <c r="B60" s="163"/>
      <c r="C60" s="184"/>
      <c r="D60" s="148"/>
      <c r="E60" s="200"/>
      <c r="F60" s="198"/>
      <c r="G60" s="99"/>
      <c r="H60" s="99"/>
      <c r="I60" s="99"/>
      <c r="J60" s="99"/>
      <c r="K60" s="99"/>
      <c r="L60" s="99"/>
      <c r="M60" s="99"/>
      <c r="N60" s="99"/>
      <c r="O60" s="99"/>
      <c r="P60" s="99"/>
      <c r="Q60" s="282"/>
    </row>
    <row r="61" spans="1:17" ht="15.5" hidden="1">
      <c r="A61" s="201">
        <f>'ATT H-2A'!A71</f>
        <v>38</v>
      </c>
      <c r="B61" s="223" t="str">
        <f>'ATT H-2A'!B71</f>
        <v>TOTAL Accumulated Depreciation</v>
      </c>
      <c r="C61" s="223"/>
      <c r="D61" s="223"/>
      <c r="E61" s="172"/>
      <c r="F61" s="236" t="str">
        <f>'ATT H-2A'!F71</f>
        <v>(Line 30 + 37)</v>
      </c>
      <c r="G61" s="99"/>
      <c r="H61" s="99"/>
      <c r="I61" s="99"/>
      <c r="J61" s="99"/>
      <c r="K61" s="99"/>
      <c r="L61" s="99"/>
      <c r="M61" s="99"/>
      <c r="N61" s="99"/>
      <c r="O61" s="99"/>
      <c r="P61" s="99"/>
      <c r="Q61" s="282"/>
    </row>
    <row r="62" spans="1:17" ht="15.5" hidden="1">
      <c r="A62" s="192"/>
      <c r="B62" s="163"/>
      <c r="C62" s="184"/>
      <c r="D62" s="148"/>
      <c r="E62" s="200"/>
      <c r="F62" s="198"/>
      <c r="G62" s="99"/>
      <c r="H62" s="99"/>
      <c r="I62" s="99"/>
      <c r="J62" s="99"/>
      <c r="K62" s="99"/>
      <c r="L62" s="99"/>
      <c r="M62" s="99"/>
      <c r="N62" s="99"/>
      <c r="O62" s="99"/>
      <c r="P62" s="99"/>
      <c r="Q62" s="282"/>
    </row>
    <row r="63" spans="1:17" ht="15.5" hidden="1">
      <c r="A63" s="201">
        <f>'ATT H-2A'!A73</f>
        <v>39</v>
      </c>
      <c r="B63" s="223" t="str">
        <f>'ATT H-2A'!B73</f>
        <v>TOTAL Net Property, Plant &amp; Equipment</v>
      </c>
      <c r="C63" s="223"/>
      <c r="D63" s="223"/>
      <c r="E63" s="172"/>
      <c r="F63" s="236" t="str">
        <f>'ATT H-2A'!F73</f>
        <v>(Line 29 - 38)</v>
      </c>
      <c r="G63" s="99"/>
      <c r="H63" s="99"/>
      <c r="I63" s="99"/>
      <c r="J63" s="99"/>
      <c r="K63" s="99"/>
      <c r="L63" s="99"/>
      <c r="M63" s="99"/>
      <c r="N63" s="99"/>
      <c r="O63" s="99"/>
      <c r="P63" s="99"/>
      <c r="Q63" s="282"/>
    </row>
    <row r="64" spans="1:17" ht="15.5" hidden="1">
      <c r="A64" s="192"/>
      <c r="B64" s="163"/>
      <c r="C64" s="184"/>
      <c r="D64" s="148"/>
      <c r="E64" s="200"/>
      <c r="F64" s="198"/>
      <c r="G64" s="99"/>
      <c r="H64" s="99"/>
      <c r="I64" s="99"/>
      <c r="J64" s="99"/>
      <c r="K64" s="99"/>
      <c r="L64" s="99"/>
      <c r="M64" s="99"/>
      <c r="N64" s="99"/>
      <c r="O64" s="99"/>
      <c r="P64" s="99"/>
      <c r="Q64" s="282"/>
    </row>
    <row r="65" spans="1:17" ht="15.5" hidden="1">
      <c r="A65" s="204" t="str">
        <f>'ATT H-2A'!A75</f>
        <v>Adjustment To Rate Base</v>
      </c>
      <c r="B65" s="150"/>
      <c r="C65" s="150"/>
      <c r="D65" s="150"/>
      <c r="E65" s="151"/>
      <c r="F65" s="205"/>
      <c r="G65" s="99"/>
      <c r="H65" s="99"/>
      <c r="I65" s="99"/>
      <c r="J65" s="99"/>
      <c r="K65" s="99"/>
      <c r="L65" s="99"/>
      <c r="M65" s="99"/>
      <c r="N65" s="99"/>
      <c r="O65" s="99"/>
      <c r="P65" s="99"/>
      <c r="Q65" s="282"/>
    </row>
    <row r="66" spans="1:17" ht="15.5" hidden="1">
      <c r="A66" s="192"/>
      <c r="B66" s="163"/>
      <c r="C66" s="184"/>
      <c r="D66" s="148"/>
      <c r="E66" s="200"/>
      <c r="F66" s="198"/>
      <c r="G66" s="99"/>
      <c r="H66" s="99"/>
      <c r="I66" s="99"/>
      <c r="J66" s="99"/>
      <c r="K66" s="99"/>
      <c r="L66" s="99"/>
      <c r="M66" s="99"/>
      <c r="N66" s="99"/>
      <c r="O66" s="99"/>
      <c r="P66" s="99"/>
      <c r="Q66" s="282"/>
    </row>
    <row r="67" spans="1:17" ht="15.5">
      <c r="A67" s="207"/>
      <c r="B67" s="157" t="str">
        <f>'ATT H-2A'!B77</f>
        <v>Accumulated Deferred Income Taxes (ADIT)</v>
      </c>
      <c r="C67" s="84"/>
      <c r="D67" s="138"/>
      <c r="E67" s="208"/>
      <c r="F67" s="195"/>
      <c r="G67" s="99"/>
      <c r="H67" s="99"/>
      <c r="I67" s="99"/>
      <c r="J67" s="99"/>
      <c r="K67" s="99"/>
      <c r="L67" s="99"/>
      <c r="M67" s="99"/>
      <c r="N67" s="99"/>
      <c r="O67" s="99"/>
      <c r="P67" s="99"/>
      <c r="Q67" s="282"/>
    </row>
    <row r="68" spans="1:17" ht="15.5" hidden="1">
      <c r="A68" s="207" t="e">
        <f>'ATT H-2A'!#REF!</f>
        <v>#REF!</v>
      </c>
      <c r="B68" s="157"/>
      <c r="C68" s="84" t="e">
        <f>'ATT H-2A'!#REF!</f>
        <v>#REF!</v>
      </c>
      <c r="D68" s="138"/>
      <c r="E68" s="139"/>
      <c r="F68" s="209" t="e">
        <f>'ATT H-2A'!#REF!</f>
        <v>#REF!</v>
      </c>
      <c r="G68" s="99"/>
      <c r="H68" s="99"/>
      <c r="I68" s="99"/>
      <c r="J68" s="99"/>
      <c r="K68" s="99"/>
      <c r="L68" s="99"/>
      <c r="M68" s="99"/>
      <c r="N68" s="99"/>
      <c r="O68" s="99"/>
      <c r="P68" s="99"/>
      <c r="Q68" s="282"/>
    </row>
    <row r="69" spans="1:17" ht="15.5" hidden="1">
      <c r="A69" s="201" t="e">
        <f>'ATT H-2A'!#REF!</f>
        <v>#REF!</v>
      </c>
      <c r="B69" s="138"/>
      <c r="C69" s="159" t="e">
        <f>'ATT H-2A'!#REF!</f>
        <v>#REF!</v>
      </c>
      <c r="D69" s="210"/>
      <c r="E69" s="211"/>
      <c r="F69" s="202" t="e">
        <f>'ATT H-2A'!#REF!</f>
        <v>#REF!</v>
      </c>
      <c r="G69" s="99"/>
      <c r="H69" s="99"/>
      <c r="I69" s="99"/>
      <c r="J69" s="99"/>
      <c r="K69" s="99"/>
      <c r="L69" s="99"/>
      <c r="M69" s="99"/>
      <c r="N69" s="99"/>
      <c r="O69" s="99"/>
      <c r="P69" s="99"/>
      <c r="Q69" s="282"/>
    </row>
    <row r="70" spans="1:17" ht="15.5" hidden="1">
      <c r="A70" s="201" t="e">
        <f>'ATT H-2A'!#REF!</f>
        <v>#REF!</v>
      </c>
      <c r="B70" s="138"/>
      <c r="C70" s="159" t="e">
        <f>'ATT H-2A'!#REF!</f>
        <v>#REF!</v>
      </c>
      <c r="D70" s="210"/>
      <c r="E70" s="211"/>
      <c r="F70" s="202" t="e">
        <f>'ATT H-2A'!#REF!</f>
        <v>#REF!</v>
      </c>
      <c r="G70" s="99"/>
      <c r="H70" s="99"/>
      <c r="I70" s="99"/>
      <c r="J70" s="99"/>
      <c r="K70" s="99"/>
      <c r="L70" s="99"/>
      <c r="M70" s="99"/>
      <c r="N70" s="99"/>
      <c r="O70" s="99"/>
      <c r="P70" s="99"/>
      <c r="Q70" s="282"/>
    </row>
    <row r="71" spans="1:17" ht="15.5">
      <c r="A71" s="201" t="str">
        <f>'ATT H-2A'!A82</f>
        <v>40e</v>
      </c>
      <c r="B71" s="182"/>
      <c r="C71" s="182" t="str">
        <f>'ATT H-2A'!C82</f>
        <v>Account No. 255 (Accum. Deferred Investment Tax Credits)</v>
      </c>
      <c r="D71" s="182"/>
      <c r="E71" s="230" t="str">
        <f>'ATT H-2A'!E82</f>
        <v>(Note T)</v>
      </c>
      <c r="F71" s="202" t="s">
        <v>175</v>
      </c>
      <c r="G71" s="134" t="s">
        <v>451</v>
      </c>
      <c r="H71" s="99"/>
      <c r="I71" s="99"/>
      <c r="J71" s="99"/>
      <c r="K71" s="99"/>
      <c r="L71" s="99"/>
      <c r="M71" s="134" t="s">
        <v>451</v>
      </c>
      <c r="N71" s="99"/>
      <c r="O71" s="99"/>
      <c r="P71" s="99"/>
      <c r="Q71" s="282"/>
    </row>
    <row r="72" spans="1:17" ht="15.5" hidden="1">
      <c r="A72" s="201" t="e">
        <f>'ATT H-2A'!#REF!</f>
        <v>#REF!</v>
      </c>
      <c r="B72" s="138"/>
      <c r="C72" s="165" t="s">
        <v>547</v>
      </c>
      <c r="D72" s="138"/>
      <c r="E72" s="169"/>
      <c r="F72" s="202" t="e">
        <f>'ATT H-2A'!#REF!</f>
        <v>#REF!</v>
      </c>
      <c r="G72" s="99"/>
      <c r="H72" s="99"/>
      <c r="I72" s="99"/>
      <c r="J72" s="99"/>
      <c r="K72" s="99"/>
      <c r="L72" s="99"/>
      <c r="M72" s="99"/>
      <c r="N72" s="99"/>
      <c r="O72" s="99"/>
      <c r="P72" s="99"/>
      <c r="Q72" s="282"/>
    </row>
    <row r="73" spans="1:17" ht="15.5" hidden="1">
      <c r="A73" s="212" t="e">
        <f>'ATT H-2A'!#REF!</f>
        <v>#REF!</v>
      </c>
      <c r="B73" s="138"/>
      <c r="C73" s="157" t="e">
        <f>'ATT H-2A'!#REF!</f>
        <v>#REF!</v>
      </c>
      <c r="D73" s="138"/>
      <c r="E73" s="169"/>
      <c r="F73" s="202" t="e">
        <f>'ATT H-2A'!#REF!</f>
        <v>#REF!</v>
      </c>
      <c r="G73" s="99"/>
      <c r="H73" s="99"/>
      <c r="I73" s="99"/>
      <c r="J73" s="99"/>
      <c r="K73" s="99"/>
      <c r="L73" s="99"/>
      <c r="M73" s="99"/>
      <c r="N73" s="99"/>
      <c r="O73" s="99"/>
      <c r="P73" s="99"/>
      <c r="Q73" s="282"/>
    </row>
    <row r="74" spans="1:17" ht="15.5" hidden="1">
      <c r="A74" s="192"/>
      <c r="B74" s="163"/>
      <c r="C74" s="184"/>
      <c r="D74" s="148"/>
      <c r="E74" s="200"/>
      <c r="F74" s="198"/>
      <c r="G74" s="99"/>
      <c r="H74" s="99"/>
      <c r="I74" s="99"/>
      <c r="J74" s="99"/>
      <c r="K74" s="99"/>
      <c r="L74" s="99"/>
      <c r="M74" s="99"/>
      <c r="N74" s="99"/>
      <c r="O74" s="99"/>
      <c r="P74" s="99"/>
      <c r="Q74" s="282"/>
    </row>
    <row r="75" spans="1:17" ht="15.5" hidden="1">
      <c r="A75" s="192"/>
      <c r="B75" s="163"/>
      <c r="C75" s="184"/>
      <c r="D75" s="148"/>
      <c r="E75" s="200"/>
      <c r="F75" s="198"/>
      <c r="G75" s="99"/>
      <c r="H75" s="99"/>
      <c r="I75" s="99"/>
      <c r="J75" s="99"/>
      <c r="K75" s="99"/>
      <c r="L75" s="99"/>
      <c r="M75" s="99"/>
      <c r="N75" s="99"/>
      <c r="O75" s="99"/>
      <c r="P75" s="99"/>
      <c r="Q75" s="282"/>
    </row>
    <row r="76" spans="1:17" ht="15.5">
      <c r="A76" s="201"/>
      <c r="B76" s="157" t="str">
        <f>'ATT H-2A'!B98</f>
        <v>Prepayments</v>
      </c>
      <c r="C76" s="165"/>
      <c r="D76" s="84"/>
      <c r="E76" s="139"/>
      <c r="F76" s="213"/>
      <c r="G76" s="99"/>
      <c r="H76" s="99"/>
      <c r="I76" s="99"/>
      <c r="J76" s="99"/>
      <c r="K76" s="99"/>
      <c r="L76" s="99"/>
      <c r="M76" s="99"/>
      <c r="N76" s="99"/>
      <c r="O76" s="99"/>
      <c r="P76" s="99"/>
      <c r="Q76" s="282"/>
    </row>
    <row r="77" spans="1:17" ht="15.5">
      <c r="A77" s="201">
        <f>'ATT H-2A'!A99</f>
        <v>45</v>
      </c>
      <c r="B77" s="214"/>
      <c r="C77" s="165" t="str">
        <f>'ATT H-2A'!C99</f>
        <v xml:space="preserve">Prepayments </v>
      </c>
      <c r="D77" s="147"/>
      <c r="E77" s="187" t="str">
        <f>'ATT H-2A'!E99</f>
        <v>(Note A)</v>
      </c>
      <c r="F77" s="215" t="str">
        <f>'ATT H-2A'!F99</f>
        <v>Attachment 9, line 30, column f</v>
      </c>
      <c r="G77" s="134" t="s">
        <v>451</v>
      </c>
      <c r="H77" s="99"/>
      <c r="I77" s="99"/>
      <c r="J77" s="99"/>
      <c r="K77" s="99"/>
      <c r="L77" s="99"/>
      <c r="M77" s="99"/>
      <c r="N77" s="99"/>
      <c r="O77" s="99"/>
      <c r="P77" s="99"/>
      <c r="Q77" s="282"/>
    </row>
    <row r="78" spans="1:17" ht="15.5" hidden="1">
      <c r="A78" s="192" t="e">
        <f>'ATT H-2A'!#REF!</f>
        <v>#REF!</v>
      </c>
      <c r="B78" s="216"/>
      <c r="C78" s="165" t="e">
        <f>'ATT H-2A'!#REF!</f>
        <v>#REF!</v>
      </c>
      <c r="D78" s="162"/>
      <c r="E78" s="163"/>
      <c r="F78" s="191" t="e">
        <f>'ATT H-2A'!#REF!</f>
        <v>#REF!</v>
      </c>
      <c r="G78" s="99"/>
      <c r="H78" s="99"/>
      <c r="I78" s="99"/>
      <c r="J78" s="99"/>
      <c r="K78" s="99"/>
      <c r="L78" s="99"/>
      <c r="M78" s="99"/>
      <c r="N78" s="99"/>
      <c r="O78" s="99"/>
      <c r="P78" s="99"/>
      <c r="Q78" s="99"/>
    </row>
    <row r="79" spans="1:17" ht="15.5" hidden="1">
      <c r="A79" s="192">
        <f>'ATT H-2A'!A100</f>
        <v>46</v>
      </c>
      <c r="B79" s="216"/>
      <c r="C79" s="186" t="str">
        <f>'ATT H-2A'!C100</f>
        <v>Total Prepayments Allocated to Transmission</v>
      </c>
      <c r="D79" s="84"/>
      <c r="E79" s="163"/>
      <c r="F79" s="191" t="str">
        <f>'ATT H-2A'!F100</f>
        <v>(Line 45)</v>
      </c>
      <c r="G79" s="99"/>
      <c r="H79" s="99"/>
      <c r="I79" s="99"/>
      <c r="J79" s="99"/>
      <c r="K79" s="99"/>
      <c r="L79" s="99"/>
      <c r="M79" s="99"/>
      <c r="N79" s="99"/>
      <c r="O79" s="99"/>
      <c r="P79" s="99"/>
      <c r="Q79" s="99"/>
    </row>
    <row r="80" spans="1:17" ht="15.5" hidden="1">
      <c r="A80" s="192"/>
      <c r="B80" s="163"/>
      <c r="C80" s="184"/>
      <c r="D80" s="148"/>
      <c r="E80" s="200"/>
      <c r="F80" s="198"/>
      <c r="G80" s="99"/>
      <c r="H80" s="99"/>
      <c r="I80" s="99"/>
      <c r="J80" s="99"/>
      <c r="K80" s="99"/>
      <c r="L80" s="99"/>
      <c r="M80" s="99"/>
      <c r="N80" s="99"/>
      <c r="O80" s="99"/>
      <c r="P80" s="99"/>
      <c r="Q80" s="99"/>
    </row>
    <row r="81" spans="1:17" ht="15.5">
      <c r="A81" s="201"/>
      <c r="B81" s="157" t="str">
        <f>'ATT H-2A'!B102</f>
        <v>Materials and Supplies</v>
      </c>
      <c r="C81" s="138"/>
      <c r="D81" s="138"/>
      <c r="E81" s="217"/>
      <c r="F81" s="218"/>
      <c r="G81" s="99"/>
      <c r="H81" s="99"/>
      <c r="I81" s="99"/>
      <c r="J81" s="99"/>
      <c r="K81" s="99"/>
      <c r="L81" s="99"/>
      <c r="M81" s="99"/>
      <c r="N81" s="99"/>
      <c r="O81" s="99"/>
      <c r="P81" s="99"/>
      <c r="Q81" s="282"/>
    </row>
    <row r="82" spans="1:17" ht="15.5">
      <c r="A82" s="207">
        <f>'ATT H-2A'!A103</f>
        <v>47</v>
      </c>
      <c r="B82" s="138"/>
      <c r="C82" s="138" t="str">
        <f>'ATT H-2A'!C103</f>
        <v>Undistributed Stores Exp</v>
      </c>
      <c r="D82" s="148"/>
      <c r="E82" s="187" t="str">
        <f>'ATT H-2A'!E103</f>
        <v>(Note A)</v>
      </c>
      <c r="F82" s="219" t="str">
        <f>'ATT H-2A'!F103</f>
        <v>p227.6c &amp; 16.c (See Attachment 9, line 30, column e)</v>
      </c>
      <c r="G82" s="134" t="s">
        <v>451</v>
      </c>
      <c r="H82" s="99"/>
      <c r="I82" s="99"/>
      <c r="J82" s="99"/>
      <c r="K82" s="99"/>
      <c r="L82" s="99"/>
      <c r="M82" s="99"/>
      <c r="N82" s="99"/>
      <c r="O82" s="99"/>
      <c r="P82" s="99"/>
      <c r="Q82" s="282"/>
    </row>
    <row r="83" spans="1:17" ht="15.5" hidden="1">
      <c r="A83" s="201">
        <f>'ATT H-2A'!A104</f>
        <v>48</v>
      </c>
      <c r="B83" s="216"/>
      <c r="C83" s="165" t="str">
        <f>'ATT H-2A'!C104</f>
        <v>Wage &amp; Salary Allocation Factor</v>
      </c>
      <c r="D83" s="162"/>
      <c r="E83" s="182"/>
      <c r="F83" s="191" t="str">
        <f>'ATT H-2A'!F104</f>
        <v>(Line 5)</v>
      </c>
      <c r="G83" s="99"/>
      <c r="H83" s="99"/>
      <c r="I83" s="99"/>
      <c r="J83" s="99"/>
      <c r="K83" s="99"/>
      <c r="L83" s="99"/>
      <c r="M83" s="99"/>
      <c r="N83" s="99"/>
      <c r="O83" s="99"/>
      <c r="P83" s="99"/>
      <c r="Q83" s="282"/>
    </row>
    <row r="84" spans="1:17" ht="15.5" hidden="1">
      <c r="A84" s="201">
        <f>'ATT H-2A'!A105</f>
        <v>49</v>
      </c>
      <c r="B84" s="216"/>
      <c r="C84" s="165" t="str">
        <f>'ATT H-2A'!C105</f>
        <v>Total Transmission Allocated</v>
      </c>
      <c r="D84" s="148"/>
      <c r="E84" s="169"/>
      <c r="F84" s="191" t="str">
        <f>'ATT H-2A'!F105</f>
        <v>(Line 47 * 48)</v>
      </c>
      <c r="G84" s="99"/>
      <c r="H84" s="99"/>
      <c r="I84" s="99"/>
      <c r="J84" s="99"/>
      <c r="K84" s="99"/>
      <c r="L84" s="99"/>
      <c r="M84" s="99"/>
      <c r="N84" s="99"/>
      <c r="O84" s="99"/>
      <c r="P84" s="99"/>
      <c r="Q84" s="282"/>
    </row>
    <row r="85" spans="1:17" ht="15.5" hidden="1">
      <c r="A85" s="201">
        <f>'ATT H-2A'!A106</f>
        <v>50</v>
      </c>
      <c r="B85" s="216"/>
      <c r="C85" s="165" t="str">
        <f>'ATT H-2A'!C106</f>
        <v>Transmission Materials &amp; Supplies</v>
      </c>
      <c r="D85" s="148"/>
      <c r="E85" s="182"/>
      <c r="F85" s="219" t="str">
        <f>'ATT H-2A'!F106</f>
        <v>p227.8c + p227.5c (See Attachment 9, line 30, column d)</v>
      </c>
      <c r="G85" s="99"/>
      <c r="H85" s="99"/>
      <c r="I85" s="99"/>
      <c r="J85" s="99"/>
      <c r="K85" s="99"/>
      <c r="L85" s="99"/>
      <c r="M85" s="99"/>
      <c r="N85" s="99"/>
      <c r="O85" s="99"/>
      <c r="P85" s="99"/>
      <c r="Q85" s="282"/>
    </row>
    <row r="86" spans="1:17" ht="15.5" hidden="1">
      <c r="A86" s="201">
        <f>'ATT H-2A'!A107</f>
        <v>51</v>
      </c>
      <c r="B86" s="216"/>
      <c r="C86" s="186" t="str">
        <f>'ATT H-2A'!C107</f>
        <v>Total Materials &amp; Supplies Allocated to Transmission</v>
      </c>
      <c r="D86" s="171"/>
      <c r="E86" s="244"/>
      <c r="F86" s="191" t="str">
        <f>'ATT H-2A'!F107</f>
        <v>(Line 49 + 50)</v>
      </c>
      <c r="G86" s="99"/>
      <c r="H86" s="99"/>
      <c r="I86" s="99"/>
      <c r="J86" s="99"/>
      <c r="K86" s="99"/>
      <c r="L86" s="99"/>
      <c r="M86" s="99"/>
      <c r="N86" s="99"/>
      <c r="O86" s="99"/>
      <c r="P86" s="99"/>
      <c r="Q86" s="282"/>
    </row>
    <row r="87" spans="1:17" ht="15.5" hidden="1">
      <c r="A87" s="192"/>
      <c r="B87" s="163"/>
      <c r="C87" s="184"/>
      <c r="D87" s="148"/>
      <c r="E87" s="200"/>
      <c r="F87" s="198"/>
      <c r="G87" s="99"/>
      <c r="H87" s="99"/>
      <c r="I87" s="99"/>
      <c r="J87" s="99"/>
      <c r="K87" s="99"/>
      <c r="L87" s="99"/>
      <c r="M87" s="99"/>
      <c r="N87" s="99"/>
      <c r="O87" s="99"/>
      <c r="P87" s="99"/>
      <c r="Q87" s="282"/>
    </row>
    <row r="88" spans="1:17" ht="15.5" hidden="1">
      <c r="A88" s="201"/>
      <c r="B88" s="157" t="str">
        <f>'ATT H-2A'!B109</f>
        <v>Cash Working Capital</v>
      </c>
      <c r="C88" s="138"/>
      <c r="D88" s="84"/>
      <c r="E88" s="139"/>
      <c r="F88" s="213"/>
      <c r="G88" s="99"/>
      <c r="H88" s="99"/>
      <c r="I88" s="99"/>
      <c r="J88" s="99"/>
      <c r="K88" s="99"/>
      <c r="L88" s="99"/>
      <c r="M88" s="99"/>
      <c r="N88" s="99"/>
      <c r="O88" s="99"/>
      <c r="P88" s="99"/>
      <c r="Q88" s="282"/>
    </row>
    <row r="89" spans="1:17" ht="15.5" hidden="1">
      <c r="A89" s="201">
        <f>'ATT H-2A'!A110</f>
        <v>52</v>
      </c>
      <c r="B89" s="216"/>
      <c r="C89" s="165" t="str">
        <f>'ATT H-2A'!C110</f>
        <v>Operation &amp; Maintenance Expense</v>
      </c>
      <c r="D89" s="220"/>
      <c r="E89" s="139"/>
      <c r="F89" s="191" t="str">
        <f>'ATT H-2A'!F110</f>
        <v>(Line 84)</v>
      </c>
      <c r="G89" s="99"/>
      <c r="H89" s="99"/>
      <c r="I89" s="99"/>
      <c r="J89" s="99"/>
      <c r="K89" s="99"/>
      <c r="L89" s="99"/>
      <c r="M89" s="99"/>
      <c r="N89" s="99"/>
      <c r="O89" s="99"/>
      <c r="P89" s="99"/>
      <c r="Q89" s="282"/>
    </row>
    <row r="90" spans="1:17" ht="15.5" hidden="1">
      <c r="A90" s="201">
        <f>'ATT H-2A'!A111</f>
        <v>53</v>
      </c>
      <c r="B90" s="216"/>
      <c r="C90" s="162" t="str">
        <f>'ATT H-2A'!C111</f>
        <v>1/8th Rule</v>
      </c>
      <c r="D90" s="220"/>
      <c r="E90" s="139"/>
      <c r="F90" s="215" t="str">
        <f>'ATT H-2A'!F111</f>
        <v>x 1/8</v>
      </c>
      <c r="G90" s="99"/>
      <c r="H90" s="99"/>
      <c r="I90" s="99"/>
      <c r="J90" s="99"/>
      <c r="K90" s="99"/>
      <c r="L90" s="99"/>
      <c r="M90" s="99"/>
      <c r="N90" s="99"/>
      <c r="O90" s="99"/>
      <c r="P90" s="99"/>
      <c r="Q90" s="282"/>
    </row>
    <row r="91" spans="1:17" ht="15.5" hidden="1">
      <c r="A91" s="201">
        <f>'ATT H-2A'!A112</f>
        <v>54</v>
      </c>
      <c r="B91" s="221"/>
      <c r="C91" s="157" t="str">
        <f>'ATT H-2A'!C112</f>
        <v>Total Cash Working Capital Allocated to Transmission</v>
      </c>
      <c r="D91" s="164"/>
      <c r="E91" s="172"/>
      <c r="F91" s="191" t="str">
        <f>'ATT H-2A'!F112</f>
        <v>(Line 52 * 53)</v>
      </c>
      <c r="G91" s="99"/>
      <c r="H91" s="99"/>
      <c r="I91" s="99"/>
      <c r="J91" s="99"/>
      <c r="K91" s="99"/>
      <c r="L91" s="99"/>
      <c r="M91" s="99"/>
      <c r="N91" s="99"/>
      <c r="O91" s="99"/>
      <c r="P91" s="99"/>
      <c r="Q91" s="282"/>
    </row>
    <row r="92" spans="1:17" ht="15.5" hidden="1">
      <c r="A92" s="192"/>
      <c r="B92" s="163"/>
      <c r="C92" s="184"/>
      <c r="D92" s="148"/>
      <c r="E92" s="200"/>
      <c r="F92" s="198"/>
      <c r="G92" s="99"/>
      <c r="H92" s="99"/>
      <c r="I92" s="99"/>
      <c r="J92" s="99"/>
      <c r="K92" s="99"/>
      <c r="L92" s="99"/>
      <c r="M92" s="99"/>
      <c r="N92" s="99"/>
      <c r="O92" s="99"/>
      <c r="P92" s="99"/>
      <c r="Q92" s="282"/>
    </row>
    <row r="93" spans="1:17" ht="15.5">
      <c r="A93" s="222"/>
      <c r="B93" s="157" t="str">
        <f>'ATT H-2A'!B114</f>
        <v>Network Credits</v>
      </c>
      <c r="C93" s="223"/>
      <c r="D93" s="164"/>
      <c r="E93" s="116"/>
      <c r="F93" s="191"/>
      <c r="G93" s="99"/>
      <c r="H93" s="99"/>
      <c r="I93" s="99"/>
      <c r="J93" s="99"/>
      <c r="K93" s="99"/>
      <c r="L93" s="99"/>
      <c r="M93" s="99"/>
      <c r="N93" s="99"/>
      <c r="O93" s="99"/>
      <c r="P93" s="99"/>
      <c r="Q93" s="313" t="s">
        <v>451</v>
      </c>
    </row>
    <row r="94" spans="1:17" ht="15.5">
      <c r="A94" s="201">
        <f>'ATT H-2A'!A115</f>
        <v>55</v>
      </c>
      <c r="B94" s="174"/>
      <c r="C94" s="174" t="str">
        <f>'ATT H-2A'!C115</f>
        <v>Outstanding Network Credits</v>
      </c>
      <c r="D94" s="174"/>
      <c r="E94" s="224" t="str">
        <f>'ATT H-2A'!E115</f>
        <v>(Note N)</v>
      </c>
      <c r="F94" s="195" t="str">
        <f>'ATT H-2A'!F115</f>
        <v>From PJM</v>
      </c>
      <c r="G94" s="99"/>
      <c r="H94" s="99"/>
      <c r="I94" s="99"/>
      <c r="J94" s="99"/>
      <c r="K94" s="99"/>
      <c r="L94" s="99"/>
      <c r="M94" s="99"/>
      <c r="N94" s="99"/>
      <c r="O94" s="99"/>
      <c r="P94" s="99"/>
      <c r="Q94" s="282"/>
    </row>
    <row r="95" spans="1:17" ht="15.5" hidden="1">
      <c r="A95" s="194">
        <f>'ATT H-2A'!A116</f>
        <v>56</v>
      </c>
      <c r="B95" s="174"/>
      <c r="C95" s="174" t="str">
        <f>'ATT H-2A'!C116</f>
        <v xml:space="preserve">    Less Accumulated Depreciation Associated with Facilities with Outstanding Network Credits</v>
      </c>
      <c r="D95" s="174"/>
      <c r="E95" s="139"/>
      <c r="F95" s="195" t="str">
        <f>'ATT H-2A'!F116</f>
        <v>From PJM</v>
      </c>
      <c r="G95" s="99"/>
      <c r="H95" s="99"/>
      <c r="I95" s="99"/>
      <c r="J95" s="99"/>
      <c r="K95" s="99"/>
      <c r="L95" s="99"/>
      <c r="M95" s="99"/>
      <c r="N95" s="99"/>
      <c r="O95" s="99"/>
      <c r="P95" s="99"/>
      <c r="Q95" s="282"/>
    </row>
    <row r="96" spans="1:17" ht="15.5" hidden="1">
      <c r="A96" s="194">
        <f>'ATT H-2A'!A117</f>
        <v>57</v>
      </c>
      <c r="B96" s="174"/>
      <c r="C96" s="174" t="str">
        <f>'ATT H-2A'!C117</f>
        <v>Net Outstanding Credits</v>
      </c>
      <c r="D96" s="174"/>
      <c r="E96" s="139"/>
      <c r="F96" s="191" t="str">
        <f>'ATT H-2A'!F117</f>
        <v>(Line 55 - 56)</v>
      </c>
      <c r="G96" s="99"/>
      <c r="H96" s="99"/>
      <c r="I96" s="99"/>
      <c r="J96" s="99"/>
      <c r="K96" s="99"/>
      <c r="L96" s="99"/>
      <c r="M96" s="99"/>
      <c r="N96" s="99"/>
      <c r="O96" s="99"/>
      <c r="P96" s="99"/>
      <c r="Q96" s="282"/>
    </row>
    <row r="97" spans="1:17" ht="15.5" hidden="1">
      <c r="A97" s="192"/>
      <c r="B97" s="163"/>
      <c r="C97" s="184"/>
      <c r="D97" s="148"/>
      <c r="E97" s="200"/>
      <c r="F97" s="198"/>
      <c r="G97" s="99"/>
      <c r="H97" s="99"/>
      <c r="I97" s="99"/>
      <c r="J97" s="99"/>
      <c r="K97" s="99"/>
      <c r="L97" s="99"/>
      <c r="M97" s="99"/>
      <c r="N97" s="99"/>
      <c r="O97" s="99"/>
      <c r="P97" s="99"/>
      <c r="Q97" s="282"/>
    </row>
    <row r="98" spans="1:17" ht="15.5" hidden="1">
      <c r="A98" s="194">
        <f>'ATT H-2A'!A119</f>
        <v>58</v>
      </c>
      <c r="B98" s="223" t="str">
        <f>'ATT H-2A'!B119</f>
        <v>TOTAL Adjustment to Rate Base</v>
      </c>
      <c r="C98" s="223"/>
      <c r="D98" s="223"/>
      <c r="E98" s="172"/>
      <c r="F98" s="191" t="str">
        <f>'ATT H-2A'!F119</f>
        <v>(Line 43 + 44 + 44a + 46 + 51 + 54 - 57)</v>
      </c>
      <c r="G98" s="99"/>
      <c r="H98" s="99"/>
      <c r="I98" s="99"/>
      <c r="J98" s="99"/>
      <c r="K98" s="99"/>
      <c r="L98" s="99"/>
      <c r="M98" s="99"/>
      <c r="N98" s="99"/>
      <c r="O98" s="99"/>
      <c r="P98" s="99"/>
      <c r="Q98" s="282"/>
    </row>
    <row r="99" spans="1:17" ht="15.5" hidden="1">
      <c r="A99" s="192"/>
      <c r="B99" s="163"/>
      <c r="C99" s="184"/>
      <c r="D99" s="148"/>
      <c r="E99" s="200"/>
      <c r="F99" s="198"/>
      <c r="G99" s="99"/>
      <c r="H99" s="99"/>
      <c r="I99" s="99"/>
      <c r="J99" s="99"/>
      <c r="K99" s="99"/>
      <c r="L99" s="99"/>
      <c r="M99" s="99"/>
      <c r="N99" s="99"/>
      <c r="O99" s="99"/>
      <c r="P99" s="99"/>
      <c r="Q99" s="282"/>
    </row>
    <row r="100" spans="1:17" ht="15.5" hidden="1">
      <c r="A100" s="192">
        <f>'ATT H-2A'!A121</f>
        <v>59</v>
      </c>
      <c r="B100" s="223" t="str">
        <f>'ATT H-2A'!B121</f>
        <v>Rate Base</v>
      </c>
      <c r="C100" s="223"/>
      <c r="D100" s="223"/>
      <c r="E100" s="172"/>
      <c r="F100" s="191" t="str">
        <f>'ATT H-2A'!F121</f>
        <v>(Line 39 + 58)</v>
      </c>
      <c r="G100" s="99"/>
      <c r="H100" s="99"/>
      <c r="I100" s="99"/>
      <c r="J100" s="99"/>
      <c r="K100" s="99"/>
      <c r="L100" s="99"/>
      <c r="M100" s="99"/>
      <c r="N100" s="99"/>
      <c r="O100" s="99"/>
      <c r="P100" s="99"/>
      <c r="Q100" s="282"/>
    </row>
    <row r="101" spans="1:17" ht="15.5" hidden="1">
      <c r="A101" s="192"/>
      <c r="B101" s="163"/>
      <c r="C101" s="184"/>
      <c r="D101" s="148"/>
      <c r="E101" s="200"/>
      <c r="F101" s="198"/>
      <c r="G101" s="99"/>
      <c r="H101" s="99"/>
      <c r="I101" s="99"/>
      <c r="J101" s="99"/>
      <c r="K101" s="99"/>
      <c r="L101" s="99"/>
      <c r="M101" s="99"/>
      <c r="N101" s="99"/>
      <c r="O101" s="99"/>
      <c r="P101" s="99"/>
      <c r="Q101" s="282"/>
    </row>
    <row r="102" spans="1:17" ht="15.5" hidden="1">
      <c r="A102" s="204" t="str">
        <f>'ATT H-2A'!A123</f>
        <v>O&amp;M</v>
      </c>
      <c r="B102" s="149"/>
      <c r="C102" s="225"/>
      <c r="D102" s="150"/>
      <c r="E102" s="151"/>
      <c r="F102" s="205"/>
      <c r="G102" s="99"/>
      <c r="H102" s="99"/>
      <c r="I102" s="99"/>
      <c r="J102" s="99"/>
      <c r="K102" s="99"/>
      <c r="L102" s="99"/>
      <c r="M102" s="99"/>
      <c r="N102" s="99"/>
      <c r="O102" s="99"/>
      <c r="P102" s="99"/>
      <c r="Q102" s="282"/>
    </row>
    <row r="103" spans="1:17" ht="15.5" hidden="1">
      <c r="A103" s="192"/>
      <c r="B103" s="163"/>
      <c r="C103" s="184"/>
      <c r="D103" s="148"/>
      <c r="E103" s="200"/>
      <c r="F103" s="198"/>
      <c r="G103" s="99"/>
      <c r="H103" s="99"/>
      <c r="I103" s="99"/>
      <c r="J103" s="99"/>
      <c r="K103" s="99"/>
      <c r="L103" s="99"/>
      <c r="M103" s="99"/>
      <c r="N103" s="99"/>
      <c r="O103" s="99"/>
      <c r="P103" s="99"/>
      <c r="Q103" s="282"/>
    </row>
    <row r="104" spans="1:17" ht="15.5" hidden="1">
      <c r="A104" s="192">
        <f>'ATT H-2A'!A125</f>
        <v>0</v>
      </c>
      <c r="B104" s="184" t="str">
        <f>'ATT H-2A'!B125</f>
        <v>Transmission O&amp;M</v>
      </c>
      <c r="C104" s="84"/>
      <c r="D104" s="154"/>
      <c r="E104" s="156"/>
      <c r="F104" s="195"/>
      <c r="G104" s="99"/>
      <c r="H104" s="99"/>
      <c r="I104" s="99"/>
      <c r="J104" s="99"/>
      <c r="K104" s="99"/>
      <c r="L104" s="99"/>
      <c r="M104" s="99"/>
      <c r="N104" s="99"/>
      <c r="O104" s="99"/>
      <c r="P104" s="99"/>
      <c r="Q104" s="282"/>
    </row>
    <row r="105" spans="1:17" ht="15.5" hidden="1">
      <c r="A105" s="192">
        <f>'ATT H-2A'!A126</f>
        <v>60</v>
      </c>
      <c r="B105" s="163"/>
      <c r="C105" s="159" t="str">
        <f>'ATT H-2A'!C126</f>
        <v>Transmission O&amp;M</v>
      </c>
      <c r="D105" s="148"/>
      <c r="E105" s="169"/>
      <c r="F105" s="202" t="str">
        <f>'ATT H-2A'!F126</f>
        <v>p321.112.b</v>
      </c>
      <c r="G105" s="99"/>
      <c r="H105" s="99"/>
      <c r="I105" s="99"/>
      <c r="J105" s="99"/>
      <c r="K105" s="99"/>
      <c r="L105" s="99"/>
      <c r="M105" s="99"/>
      <c r="N105" s="99"/>
      <c r="O105" s="99"/>
      <c r="P105" s="99"/>
      <c r="Q105" s="282"/>
    </row>
    <row r="106" spans="1:17" ht="15.5" hidden="1">
      <c r="A106" s="192">
        <f>'ATT H-2A'!A129</f>
        <v>63</v>
      </c>
      <c r="B106" s="163"/>
      <c r="C106" s="159" t="str">
        <f>'ATT H-2A'!C129</f>
        <v xml:space="preserve">     Less Account 565</v>
      </c>
      <c r="D106" s="148"/>
      <c r="E106" s="169"/>
      <c r="F106" s="202" t="str">
        <f>'ATT H-2A'!F129</f>
        <v>p321.96.b</v>
      </c>
      <c r="G106" s="99"/>
      <c r="H106" s="99"/>
      <c r="I106" s="99"/>
      <c r="J106" s="99"/>
      <c r="K106" s="99"/>
      <c r="L106" s="99"/>
      <c r="M106" s="99"/>
      <c r="N106" s="99"/>
      <c r="O106" s="99"/>
      <c r="P106" s="99"/>
      <c r="Q106" s="282"/>
    </row>
    <row r="107" spans="1:17" ht="15.5" hidden="1">
      <c r="A107" s="192">
        <f>'ATT H-2A'!A131</f>
        <v>65</v>
      </c>
      <c r="B107" s="163"/>
      <c r="C107" s="159" t="str">
        <f>'ATT H-2A'!C131</f>
        <v xml:space="preserve">     Plus Transmission Lease Payments</v>
      </c>
      <c r="D107" s="158"/>
      <c r="E107" s="133"/>
      <c r="F107" s="202" t="str">
        <f>'ATT H-2A'!F131</f>
        <v>P200.4.c</v>
      </c>
      <c r="G107" s="99"/>
      <c r="H107" s="99"/>
      <c r="I107" s="99"/>
      <c r="J107" s="99"/>
      <c r="K107" s="99"/>
      <c r="L107" s="99"/>
      <c r="M107" s="99"/>
      <c r="N107" s="99"/>
      <c r="O107" s="99"/>
      <c r="P107" s="99"/>
      <c r="Q107" s="282"/>
    </row>
    <row r="108" spans="1:17" ht="15.5" hidden="1">
      <c r="A108" s="201">
        <f>'ATT H-2A'!A132</f>
        <v>66</v>
      </c>
      <c r="B108" s="148"/>
      <c r="C108" s="184" t="str">
        <f>'ATT H-2A'!C132</f>
        <v>Transmission O&amp;M</v>
      </c>
      <c r="D108" s="148"/>
      <c r="E108" s="169"/>
      <c r="F108" s="202" t="str">
        <f>'ATT H-2A'!F132</f>
        <v>(Lines 60 - 61 + 62 - 63 + 64 + 65)</v>
      </c>
      <c r="G108" s="99"/>
      <c r="H108" s="99"/>
      <c r="I108" s="99"/>
      <c r="J108" s="99"/>
      <c r="K108" s="99"/>
      <c r="L108" s="99"/>
      <c r="M108" s="99"/>
      <c r="N108" s="99"/>
      <c r="O108" s="99"/>
      <c r="P108" s="99"/>
      <c r="Q108" s="282"/>
    </row>
    <row r="109" spans="1:17" ht="15.5" hidden="1">
      <c r="A109" s="192"/>
      <c r="B109" s="163"/>
      <c r="C109" s="184"/>
      <c r="D109" s="148"/>
      <c r="E109" s="200"/>
      <c r="F109" s="198"/>
      <c r="G109" s="99"/>
      <c r="H109" s="99"/>
      <c r="I109" s="99"/>
      <c r="J109" s="99"/>
      <c r="K109" s="99"/>
      <c r="L109" s="99"/>
      <c r="M109" s="99"/>
      <c r="N109" s="99"/>
      <c r="O109" s="99"/>
      <c r="P109" s="99"/>
      <c r="Q109" s="282"/>
    </row>
    <row r="110" spans="1:17" ht="15.5">
      <c r="A110" s="201"/>
      <c r="B110" s="184" t="str">
        <f>'ATT H-2A'!B134</f>
        <v>Allocated General &amp; Common Expenses</v>
      </c>
      <c r="C110" s="148"/>
      <c r="D110" s="148"/>
      <c r="E110" s="200"/>
      <c r="F110" s="226"/>
      <c r="G110" s="99"/>
      <c r="H110" s="99"/>
      <c r="I110" s="99"/>
      <c r="J110" s="99"/>
      <c r="K110" s="99"/>
      <c r="L110" s="99"/>
      <c r="M110" s="99"/>
      <c r="N110" s="99"/>
      <c r="O110" s="99"/>
      <c r="P110" s="99"/>
      <c r="Q110" s="282"/>
    </row>
    <row r="111" spans="1:17" ht="15.5">
      <c r="A111" s="201">
        <f>'ATT H-2A'!A135</f>
        <v>67</v>
      </c>
      <c r="B111" s="182"/>
      <c r="C111" s="159" t="str">
        <f>'ATT H-2A'!C135</f>
        <v>Common Plant O&amp;M</v>
      </c>
      <c r="D111" s="148"/>
      <c r="E111" s="224" t="str">
        <f>'ATT H-2A'!E135</f>
        <v>(Note A)</v>
      </c>
      <c r="F111" s="191" t="str">
        <f>'ATT H-2A'!F135</f>
        <v>p356</v>
      </c>
      <c r="G111" s="134" t="s">
        <v>451</v>
      </c>
      <c r="H111" s="134"/>
      <c r="I111" s="99"/>
      <c r="J111" s="99"/>
      <c r="K111" s="99"/>
      <c r="L111" s="99"/>
      <c r="M111" s="99"/>
      <c r="N111" s="99"/>
      <c r="O111" s="99"/>
      <c r="P111" s="99"/>
      <c r="Q111" s="282"/>
    </row>
    <row r="112" spans="1:17" ht="15.5" hidden="1">
      <c r="A112" s="201">
        <f>'ATT H-2A'!A136</f>
        <v>68</v>
      </c>
      <c r="B112" s="182"/>
      <c r="C112" s="159" t="str">
        <f>'ATT H-2A'!C136</f>
        <v>Total A&amp;G</v>
      </c>
      <c r="D112" s="148"/>
      <c r="E112" s="169"/>
      <c r="F112" s="202" t="str">
        <f>'ATT H-2A'!F136</f>
        <v>p323.197.b</v>
      </c>
      <c r="G112" s="99"/>
      <c r="H112" s="99"/>
      <c r="I112" s="99"/>
      <c r="J112" s="99"/>
      <c r="K112" s="99"/>
      <c r="L112" s="99"/>
      <c r="M112" s="99"/>
      <c r="N112" s="99"/>
      <c r="O112" s="99"/>
      <c r="P112" s="99"/>
      <c r="Q112" s="282"/>
    </row>
    <row r="113" spans="1:17" ht="15.5" hidden="1">
      <c r="A113" s="201">
        <f>'ATT H-2A'!A138</f>
        <v>69</v>
      </c>
      <c r="B113" s="182"/>
      <c r="C113" s="159" t="str">
        <f>'ATT H-2A'!C138</f>
        <v xml:space="preserve">    Less Property Insurance Account 924</v>
      </c>
      <c r="D113" s="158"/>
      <c r="E113" s="169"/>
      <c r="F113" s="227" t="str">
        <f>'ATT H-2A'!F138</f>
        <v>p323.185.b</v>
      </c>
      <c r="G113" s="99"/>
      <c r="H113" s="99"/>
      <c r="I113" s="99"/>
      <c r="J113" s="99"/>
      <c r="K113" s="99"/>
      <c r="L113" s="99"/>
      <c r="M113" s="99"/>
      <c r="N113" s="99"/>
      <c r="O113" s="99"/>
      <c r="P113" s="99"/>
      <c r="Q113" s="282"/>
    </row>
    <row r="114" spans="1:17" ht="15.5">
      <c r="A114" s="201">
        <f>'ATT H-2A'!A139</f>
        <v>70</v>
      </c>
      <c r="B114" s="182"/>
      <c r="C114" s="159" t="str">
        <f>'ATT H-2A'!C139</f>
        <v xml:space="preserve">    Less Regulatory Commission Exp Account 928</v>
      </c>
      <c r="D114" s="158"/>
      <c r="E114" s="224" t="str">
        <f>'ATT H-2A'!E139</f>
        <v>(Note E)</v>
      </c>
      <c r="F114" s="227" t="str">
        <f>'ATT H-2A'!F139</f>
        <v>p323.189.b</v>
      </c>
      <c r="G114" s="99"/>
      <c r="H114" s="99"/>
      <c r="I114" s="99"/>
      <c r="J114" s="99"/>
      <c r="K114" s="134" t="s">
        <v>451</v>
      </c>
      <c r="L114" s="99"/>
      <c r="M114" s="99"/>
      <c r="N114" s="99"/>
      <c r="O114" s="99"/>
      <c r="P114" s="99"/>
      <c r="Q114" s="282"/>
    </row>
    <row r="115" spans="1:17" ht="15.5" hidden="1">
      <c r="A115" s="201">
        <f>'ATT H-2A'!A140</f>
        <v>71</v>
      </c>
      <c r="B115" s="182"/>
      <c r="C115" s="159" t="str">
        <f>'ATT H-2A'!C140</f>
        <v xml:space="preserve">    Less General Advertising Exp Account 930.1</v>
      </c>
      <c r="D115" s="158"/>
      <c r="E115" s="169"/>
      <c r="F115" s="227" t="str">
        <f>'ATT H-2A'!F140</f>
        <v>p323.191.b</v>
      </c>
      <c r="G115" s="99"/>
      <c r="H115" s="99"/>
      <c r="I115" s="99"/>
      <c r="J115" s="99"/>
      <c r="K115" s="99"/>
      <c r="L115" s="99"/>
      <c r="M115" s="99"/>
      <c r="N115" s="99"/>
      <c r="O115" s="99"/>
      <c r="P115" s="99"/>
      <c r="Q115" s="282"/>
    </row>
    <row r="116" spans="1:17" ht="15.5">
      <c r="A116" s="201">
        <f>'ATT H-2A'!A141</f>
        <v>72</v>
      </c>
      <c r="B116" s="182"/>
      <c r="C116" s="159" t="str">
        <f>'ATT H-2A'!C141</f>
        <v xml:space="preserve">    Less EPRI Dues</v>
      </c>
      <c r="D116" s="174"/>
      <c r="E116" s="224" t="str">
        <f>'ATT H-2A'!E141</f>
        <v>(Note D)</v>
      </c>
      <c r="F116" s="202" t="str">
        <f>'ATT H-2A'!F141</f>
        <v>p352-353</v>
      </c>
      <c r="G116" s="99"/>
      <c r="H116" s="99"/>
      <c r="I116" s="99"/>
      <c r="J116" s="134" t="s">
        <v>451</v>
      </c>
      <c r="K116" s="99"/>
      <c r="L116" s="99"/>
      <c r="M116" s="99"/>
      <c r="N116" s="99"/>
      <c r="O116" s="99"/>
      <c r="P116" s="99"/>
      <c r="Q116" s="282"/>
    </row>
    <row r="117" spans="1:17" ht="15.5" hidden="1">
      <c r="A117" s="201">
        <f>'ATT H-2A'!A142</f>
        <v>73</v>
      </c>
      <c r="B117" s="182"/>
      <c r="C117" s="184" t="str">
        <f>'ATT H-2A'!C142</f>
        <v>General &amp; Common Expenses</v>
      </c>
      <c r="D117" s="148"/>
      <c r="E117" s="200"/>
      <c r="F117" s="191" t="str">
        <f>'ATT H-2A'!F142</f>
        <v>(Lines 67 + 68) -  Sum (69 to 72)</v>
      </c>
      <c r="G117" s="99"/>
      <c r="H117" s="99"/>
      <c r="I117" s="99"/>
      <c r="J117" s="99"/>
      <c r="K117" s="99"/>
      <c r="L117" s="99"/>
      <c r="M117" s="99"/>
      <c r="N117" s="99"/>
      <c r="O117" s="99"/>
      <c r="P117" s="99"/>
      <c r="Q117" s="282"/>
    </row>
    <row r="118" spans="1:17" ht="15.5" hidden="1">
      <c r="A118" s="201">
        <f>'ATT H-2A'!A143</f>
        <v>74</v>
      </c>
      <c r="B118" s="182"/>
      <c r="C118" s="165" t="str">
        <f>'ATT H-2A'!C143</f>
        <v>Wage &amp; Salary Allocation Factor</v>
      </c>
      <c r="D118" s="162"/>
      <c r="E118" s="139"/>
      <c r="F118" s="226" t="str">
        <f>'ATT H-2A'!F143</f>
        <v>(Line 5)</v>
      </c>
      <c r="G118" s="99"/>
      <c r="H118" s="99"/>
      <c r="I118" s="99"/>
      <c r="J118" s="99"/>
      <c r="K118" s="99"/>
      <c r="L118" s="99"/>
      <c r="M118" s="99"/>
      <c r="N118" s="99"/>
      <c r="O118" s="99"/>
      <c r="P118" s="99"/>
      <c r="Q118" s="282"/>
    </row>
    <row r="119" spans="1:17" ht="15.5" hidden="1">
      <c r="A119" s="201">
        <f>'ATT H-2A'!A144</f>
        <v>75</v>
      </c>
      <c r="B119" s="182"/>
      <c r="C119" s="184" t="str">
        <f>'ATT H-2A'!C144</f>
        <v>General &amp; Common Expenses Allocated to Transmission</v>
      </c>
      <c r="D119" s="148"/>
      <c r="E119" s="156"/>
      <c r="F119" s="191" t="str">
        <f>'ATT H-2A'!F144</f>
        <v>(Line 73 * 74)</v>
      </c>
      <c r="G119" s="99"/>
      <c r="H119" s="99"/>
      <c r="I119" s="99"/>
      <c r="J119" s="99"/>
      <c r="K119" s="99"/>
      <c r="L119" s="99"/>
      <c r="M119" s="99"/>
      <c r="N119" s="99"/>
      <c r="O119" s="99"/>
      <c r="P119" s="99"/>
      <c r="Q119" s="282"/>
    </row>
    <row r="120" spans="1:17" ht="15.5" hidden="1">
      <c r="A120" s="192"/>
      <c r="B120" s="163"/>
      <c r="C120" s="184"/>
      <c r="D120" s="148"/>
      <c r="E120" s="200"/>
      <c r="F120" s="198"/>
      <c r="G120" s="99"/>
      <c r="H120" s="99"/>
      <c r="I120" s="99"/>
      <c r="J120" s="99"/>
      <c r="K120" s="99"/>
      <c r="L120" s="99"/>
      <c r="M120" s="99"/>
      <c r="N120" s="99"/>
      <c r="O120" s="99"/>
      <c r="P120" s="99"/>
      <c r="Q120" s="282"/>
    </row>
    <row r="121" spans="1:17" ht="15.5">
      <c r="A121" s="201"/>
      <c r="B121" s="184" t="str">
        <f>'ATT H-2A'!B146</f>
        <v>Directly Assigned A&amp;G</v>
      </c>
      <c r="C121" s="138"/>
      <c r="D121" s="148"/>
      <c r="E121" s="156"/>
      <c r="F121" s="198"/>
      <c r="G121" s="99"/>
      <c r="H121" s="99"/>
      <c r="I121" s="99"/>
      <c r="J121" s="99"/>
      <c r="K121" s="99"/>
      <c r="L121" s="99"/>
      <c r="M121" s="99"/>
      <c r="N121" s="99"/>
      <c r="O121" s="99"/>
      <c r="P121" s="99"/>
      <c r="Q121" s="282"/>
    </row>
    <row r="122" spans="1:17" ht="15.5">
      <c r="A122" s="201">
        <f>'ATT H-2A'!A147</f>
        <v>76</v>
      </c>
      <c r="B122" s="216"/>
      <c r="C122" s="165" t="str">
        <f>'ATT H-2A'!C147</f>
        <v>Regulatory Commission Exp Account 928</v>
      </c>
      <c r="D122" s="147"/>
      <c r="E122" s="224" t="str">
        <f>'ATT H-2A'!E147</f>
        <v>(Note G)</v>
      </c>
      <c r="F122" s="219" t="str">
        <f>'ATT H-2A'!F147</f>
        <v>p323.189b</v>
      </c>
      <c r="G122" s="99"/>
      <c r="H122" s="99"/>
      <c r="I122" s="134"/>
      <c r="J122" s="99"/>
      <c r="K122" s="134" t="s">
        <v>451</v>
      </c>
      <c r="L122" s="99"/>
      <c r="M122" s="99"/>
      <c r="N122" s="99"/>
      <c r="O122" s="99"/>
      <c r="P122" s="99"/>
      <c r="Q122" s="282"/>
    </row>
    <row r="123" spans="1:17" ht="15.5">
      <c r="A123" s="192">
        <f>'ATT H-2A'!A148</f>
        <v>77</v>
      </c>
      <c r="B123" s="216"/>
      <c r="C123" s="165" t="str">
        <f>'ATT H-2A'!C148</f>
        <v>General Advertising Exp Account 930.1</v>
      </c>
      <c r="D123" s="241"/>
      <c r="E123" s="147" t="str">
        <f>'ATT H-2A'!E148</f>
        <v>(Note K)</v>
      </c>
      <c r="F123" s="219" t="str">
        <f>'ATT H-2A'!F148</f>
        <v>p323.191.b</v>
      </c>
      <c r="G123" s="99"/>
      <c r="H123" s="99"/>
      <c r="I123" s="99"/>
      <c r="J123" s="99"/>
      <c r="K123" s="99"/>
      <c r="L123" s="99"/>
      <c r="M123" s="99"/>
      <c r="N123" s="134" t="s">
        <v>451</v>
      </c>
      <c r="O123" s="134"/>
      <c r="P123" s="99"/>
      <c r="Q123" s="282"/>
    </row>
    <row r="124" spans="1:17" ht="15.5" hidden="1">
      <c r="A124" s="192">
        <f>'ATT H-2A'!A149</f>
        <v>78</v>
      </c>
      <c r="B124" s="216"/>
      <c r="C124" s="165" t="str">
        <f>'ATT H-2A'!C149</f>
        <v>Subtotal - Transmission Related</v>
      </c>
      <c r="D124" s="148"/>
      <c r="E124" s="217"/>
      <c r="F124" s="191" t="str">
        <f>'ATT H-2A'!F149</f>
        <v>(Line 76 + 77)</v>
      </c>
      <c r="G124" s="99"/>
      <c r="H124" s="99"/>
      <c r="I124" s="99"/>
      <c r="J124" s="99"/>
      <c r="K124" s="99"/>
      <c r="L124" s="99"/>
      <c r="M124" s="99"/>
      <c r="N124" s="99"/>
      <c r="O124" s="99"/>
      <c r="P124" s="99"/>
      <c r="Q124" s="282"/>
    </row>
    <row r="125" spans="1:17" ht="15.5" hidden="1">
      <c r="A125" s="192"/>
      <c r="B125" s="163"/>
      <c r="C125" s="184"/>
      <c r="D125" s="148"/>
      <c r="E125" s="200"/>
      <c r="F125" s="198"/>
      <c r="G125" s="99"/>
      <c r="H125" s="99"/>
      <c r="I125" s="99"/>
      <c r="J125" s="99"/>
      <c r="K125" s="99"/>
      <c r="L125" s="99"/>
      <c r="M125" s="99"/>
      <c r="N125" s="99"/>
      <c r="O125" s="99"/>
      <c r="P125" s="99"/>
      <c r="Q125" s="282"/>
    </row>
    <row r="126" spans="1:17" ht="15.5" hidden="1">
      <c r="A126" s="192">
        <f>'ATT H-2A'!A151</f>
        <v>79</v>
      </c>
      <c r="B126" s="216"/>
      <c r="C126" s="165" t="str">
        <f>'ATT H-2A'!C151</f>
        <v>Property Insurance Account 924</v>
      </c>
      <c r="D126" s="148"/>
      <c r="E126" s="139"/>
      <c r="F126" s="219" t="str">
        <f>'ATT H-2A'!F151</f>
        <v>p323.185b</v>
      </c>
      <c r="G126" s="99"/>
      <c r="H126" s="99"/>
      <c r="I126" s="99"/>
      <c r="J126" s="99"/>
      <c r="K126" s="99"/>
      <c r="L126" s="99"/>
      <c r="M126" s="99"/>
      <c r="N126" s="99"/>
      <c r="O126" s="99"/>
      <c r="P126" s="99"/>
      <c r="Q126" s="282"/>
    </row>
    <row r="127" spans="1:17" ht="15.5">
      <c r="A127" s="192">
        <f>'ATT H-2A'!A152</f>
        <v>80</v>
      </c>
      <c r="B127" s="216"/>
      <c r="C127" s="165" t="str">
        <f>'ATT H-2A'!C152</f>
        <v>General Advertising Exp Account 930.1</v>
      </c>
      <c r="D127" s="148"/>
      <c r="E127" s="147" t="str">
        <f>'ATT H-2A'!E152</f>
        <v>(Note F)</v>
      </c>
      <c r="F127" s="219" t="str">
        <f>'ATT H-2A'!F152</f>
        <v>p323.191.b</v>
      </c>
      <c r="G127" s="99"/>
      <c r="H127" s="99"/>
      <c r="I127" s="99"/>
      <c r="J127" s="99"/>
      <c r="K127" s="99"/>
      <c r="L127" s="134" t="s">
        <v>451</v>
      </c>
      <c r="M127" s="99"/>
      <c r="N127" s="99"/>
      <c r="O127" s="99"/>
      <c r="P127" s="99"/>
      <c r="Q127" s="282"/>
    </row>
    <row r="128" spans="1:17" ht="15.5" hidden="1">
      <c r="A128" s="201">
        <f>'ATT H-2A'!A153</f>
        <v>81</v>
      </c>
      <c r="B128" s="216"/>
      <c r="C128" s="165" t="str">
        <f>'ATT H-2A'!C153</f>
        <v>Total</v>
      </c>
      <c r="D128" s="148"/>
      <c r="E128" s="139"/>
      <c r="F128" s="191" t="str">
        <f>'ATT H-2A'!F153</f>
        <v>(Line 79 + 80)</v>
      </c>
      <c r="G128" s="99"/>
      <c r="H128" s="99"/>
      <c r="I128" s="99"/>
      <c r="J128" s="99"/>
      <c r="K128" s="99"/>
      <c r="L128" s="99"/>
      <c r="M128" s="99"/>
      <c r="N128" s="99"/>
      <c r="O128" s="99"/>
      <c r="P128" s="99"/>
      <c r="Q128" s="282"/>
    </row>
    <row r="129" spans="1:17" ht="15.5" hidden="1">
      <c r="A129" s="192">
        <f>'ATT H-2A'!A154</f>
        <v>82</v>
      </c>
      <c r="B129" s="182"/>
      <c r="C129" s="165" t="str">
        <f>'ATT H-2A'!C154</f>
        <v>Net Plant Allocation Factor</v>
      </c>
      <c r="D129" s="162"/>
      <c r="E129" s="163"/>
      <c r="F129" s="191" t="str">
        <f>'ATT H-2A'!F154</f>
        <v>(Line 18)</v>
      </c>
      <c r="G129" s="99"/>
      <c r="H129" s="99"/>
      <c r="I129" s="99"/>
      <c r="J129" s="99"/>
      <c r="K129" s="99"/>
      <c r="L129" s="99"/>
      <c r="M129" s="99"/>
      <c r="N129" s="99"/>
      <c r="O129" s="99"/>
      <c r="P129" s="99"/>
      <c r="Q129" s="282"/>
    </row>
    <row r="130" spans="1:17" ht="15.5" hidden="1">
      <c r="A130" s="201">
        <f>'ATT H-2A'!A155</f>
        <v>83</v>
      </c>
      <c r="B130" s="182"/>
      <c r="C130" s="184" t="str">
        <f>'ATT H-2A'!C155</f>
        <v>A&amp;G Directly Assigned to Transmission</v>
      </c>
      <c r="D130" s="148"/>
      <c r="E130" s="156"/>
      <c r="F130" s="191" t="str">
        <f>'ATT H-2A'!F155</f>
        <v>(Line 81 * 82)</v>
      </c>
      <c r="G130" s="99"/>
      <c r="H130" s="99"/>
      <c r="I130" s="99"/>
      <c r="J130" s="99"/>
      <c r="K130" s="99"/>
      <c r="L130" s="99"/>
      <c r="M130" s="99"/>
      <c r="N130" s="99"/>
      <c r="O130" s="99"/>
      <c r="P130" s="99"/>
      <c r="Q130" s="282"/>
    </row>
    <row r="131" spans="1:17" ht="15.5" hidden="1">
      <c r="A131" s="192"/>
      <c r="B131" s="163"/>
      <c r="C131" s="184"/>
      <c r="D131" s="148"/>
      <c r="E131" s="200"/>
      <c r="F131" s="198"/>
      <c r="G131" s="99"/>
      <c r="H131" s="99"/>
      <c r="I131" s="99"/>
      <c r="J131" s="99"/>
      <c r="K131" s="99"/>
      <c r="L131" s="99"/>
      <c r="M131" s="99"/>
      <c r="N131" s="99"/>
      <c r="O131" s="99"/>
      <c r="P131" s="99"/>
      <c r="Q131" s="282"/>
    </row>
    <row r="132" spans="1:17" ht="15.5" hidden="1">
      <c r="A132" s="192">
        <f>'ATT H-2A'!A157</f>
        <v>84</v>
      </c>
      <c r="B132" s="163"/>
      <c r="C132" s="184" t="str">
        <f>'ATT H-2A'!C157</f>
        <v>Total Transmission O&amp;M</v>
      </c>
      <c r="D132" s="148"/>
      <c r="E132" s="156"/>
      <c r="F132" s="236" t="str">
        <f>'ATT H-2A'!F157</f>
        <v>(Line 66 + 75 + 78 + 83)</v>
      </c>
      <c r="G132" s="99"/>
      <c r="H132" s="99"/>
      <c r="I132" s="99"/>
      <c r="J132" s="99"/>
      <c r="K132" s="99"/>
      <c r="L132" s="99"/>
      <c r="M132" s="99"/>
      <c r="N132" s="99"/>
      <c r="O132" s="99"/>
      <c r="P132" s="99"/>
      <c r="Q132" s="282"/>
    </row>
    <row r="133" spans="1:17" ht="15.5" hidden="1">
      <c r="A133" s="192"/>
      <c r="B133" s="163"/>
      <c r="C133" s="184"/>
      <c r="D133" s="148"/>
      <c r="E133" s="200"/>
      <c r="F133" s="198"/>
      <c r="G133" s="99"/>
      <c r="H133" s="99"/>
      <c r="I133" s="99"/>
      <c r="J133" s="99"/>
      <c r="K133" s="99"/>
      <c r="L133" s="99"/>
      <c r="M133" s="99"/>
      <c r="N133" s="99"/>
      <c r="O133" s="99"/>
      <c r="P133" s="99"/>
      <c r="Q133" s="282"/>
    </row>
    <row r="134" spans="1:17" ht="15.5" hidden="1">
      <c r="A134" s="204" t="str">
        <f>'ATT H-2A'!A159</f>
        <v>Depreciation &amp; Amortization Expense</v>
      </c>
      <c r="B134" s="149"/>
      <c r="C134" s="225"/>
      <c r="D134" s="150"/>
      <c r="E134" s="151"/>
      <c r="F134" s="205"/>
      <c r="G134" s="99"/>
      <c r="H134" s="99"/>
      <c r="I134" s="99"/>
      <c r="J134" s="99"/>
      <c r="K134" s="99"/>
      <c r="L134" s="99"/>
      <c r="M134" s="99"/>
      <c r="N134" s="99"/>
      <c r="O134" s="99"/>
      <c r="P134" s="99"/>
      <c r="Q134" s="282"/>
    </row>
    <row r="135" spans="1:17" ht="15.5" hidden="1">
      <c r="A135" s="192"/>
      <c r="B135" s="163"/>
      <c r="C135" s="184"/>
      <c r="D135" s="148"/>
      <c r="E135" s="200"/>
      <c r="F135" s="198"/>
      <c r="G135" s="99"/>
      <c r="H135" s="99"/>
      <c r="I135" s="99"/>
      <c r="J135" s="99"/>
      <c r="K135" s="99"/>
      <c r="L135" s="99"/>
      <c r="M135" s="99"/>
      <c r="N135" s="99"/>
      <c r="O135" s="99"/>
      <c r="P135" s="99"/>
      <c r="Q135" s="282"/>
    </row>
    <row r="136" spans="1:17" ht="15.5">
      <c r="A136" s="194"/>
      <c r="B136" s="178" t="str">
        <f>'ATT H-2A'!B161</f>
        <v>Depreciation Expense</v>
      </c>
      <c r="C136" s="174"/>
      <c r="D136" s="84"/>
      <c r="E136" s="139"/>
      <c r="F136" s="228"/>
      <c r="G136" s="99"/>
      <c r="H136" s="99"/>
      <c r="I136" s="99"/>
      <c r="J136" s="99"/>
      <c r="K136" s="99"/>
      <c r="L136" s="99"/>
      <c r="M136" s="99"/>
      <c r="N136" s="99"/>
      <c r="O136" s="99"/>
      <c r="P136" s="99"/>
      <c r="Q136" s="282"/>
    </row>
    <row r="137" spans="1:17" ht="15.5" hidden="1">
      <c r="A137" s="192">
        <f>'ATT H-2A'!A162</f>
        <v>85</v>
      </c>
      <c r="B137" s="229"/>
      <c r="C137" s="166" t="str">
        <f>'ATT H-2A'!C162</f>
        <v>Transmission Depreciation Expense</v>
      </c>
      <c r="D137" s="84"/>
      <c r="E137" s="163"/>
      <c r="F137" s="215" t="str">
        <f>'ATT H-2A'!F162</f>
        <v>Attachment 5</v>
      </c>
      <c r="G137" s="99"/>
      <c r="H137" s="99"/>
      <c r="I137" s="99"/>
      <c r="J137" s="99"/>
      <c r="K137" s="99"/>
      <c r="L137" s="99"/>
      <c r="M137" s="99"/>
      <c r="N137" s="99"/>
      <c r="O137" s="99"/>
      <c r="P137" s="99"/>
      <c r="Q137" s="282"/>
    </row>
    <row r="138" spans="1:17" ht="15.5" hidden="1">
      <c r="A138" s="192"/>
      <c r="B138" s="163"/>
      <c r="C138" s="184"/>
      <c r="D138" s="148"/>
      <c r="E138" s="200"/>
      <c r="F138" s="198"/>
      <c r="G138" s="99"/>
      <c r="H138" s="99"/>
      <c r="I138" s="99"/>
      <c r="J138" s="99"/>
      <c r="K138" s="99"/>
      <c r="L138" s="99"/>
      <c r="M138" s="99"/>
      <c r="N138" s="99"/>
      <c r="O138" s="99"/>
      <c r="P138" s="99"/>
      <c r="Q138" s="282"/>
    </row>
    <row r="139" spans="1:17" ht="15.5" hidden="1">
      <c r="A139" s="192">
        <f>'ATT H-2A'!A165</f>
        <v>86</v>
      </c>
      <c r="B139" s="229"/>
      <c r="C139" s="166" t="str">
        <f>'ATT H-2A'!C165</f>
        <v>General Depreciation</v>
      </c>
      <c r="D139" s="84"/>
      <c r="E139" s="163"/>
      <c r="F139" s="215" t="str">
        <f>'ATT H-2A'!F165</f>
        <v>Attachment 5</v>
      </c>
      <c r="G139" s="99"/>
      <c r="H139" s="99"/>
      <c r="I139" s="99"/>
      <c r="J139" s="99"/>
      <c r="K139" s="99"/>
      <c r="L139" s="99"/>
      <c r="M139" s="99"/>
      <c r="N139" s="99"/>
      <c r="O139" s="99"/>
      <c r="P139" s="99"/>
      <c r="Q139" s="282"/>
    </row>
    <row r="140" spans="1:17" ht="15.5">
      <c r="A140" s="192">
        <f>'ATT H-2A'!A166</f>
        <v>87</v>
      </c>
      <c r="B140" s="229"/>
      <c r="C140" s="166" t="str">
        <f>'ATT H-2A'!C166</f>
        <v>Intangible Amortization</v>
      </c>
      <c r="D140" s="84"/>
      <c r="E140" s="245" t="str">
        <f>'ATT H-2A'!E166</f>
        <v>(Note A)</v>
      </c>
      <c r="F140" s="219" t="str">
        <f>'ATT H-2A'!F166</f>
        <v>Attachment 5</v>
      </c>
      <c r="G140" s="134" t="s">
        <v>451</v>
      </c>
      <c r="H140" s="99"/>
      <c r="J140" s="99"/>
      <c r="K140" s="99"/>
      <c r="L140" s="99"/>
      <c r="M140" s="99"/>
      <c r="N140" s="99"/>
      <c r="O140" s="99"/>
      <c r="P140" s="99"/>
      <c r="Q140" s="282"/>
    </row>
    <row r="141" spans="1:17" ht="15.5" hidden="1">
      <c r="A141" s="192">
        <f>'ATT H-2A'!A167</f>
        <v>88</v>
      </c>
      <c r="B141" s="229"/>
      <c r="C141" s="166" t="str">
        <f>'ATT H-2A'!C167</f>
        <v>Total</v>
      </c>
      <c r="D141" s="84"/>
      <c r="E141" s="163"/>
      <c r="F141" s="191" t="str">
        <f>'ATT H-2A'!F167</f>
        <v>(Line 86 + 87)</v>
      </c>
      <c r="G141" s="99"/>
      <c r="H141" s="99"/>
      <c r="J141" s="99"/>
      <c r="K141" s="99"/>
      <c r="L141" s="99"/>
      <c r="M141" s="99"/>
      <c r="N141" s="99"/>
      <c r="O141" s="99"/>
      <c r="P141" s="99"/>
      <c r="Q141" s="282"/>
    </row>
    <row r="142" spans="1:17" ht="15.5" hidden="1">
      <c r="A142" s="192">
        <f>'ATT H-2A'!A168</f>
        <v>89</v>
      </c>
      <c r="B142" s="229"/>
      <c r="C142" s="165" t="str">
        <f>'ATT H-2A'!C168</f>
        <v>Wage &amp; Salary Allocation Factor</v>
      </c>
      <c r="D142" s="162"/>
      <c r="E142" s="139"/>
      <c r="F142" s="226" t="str">
        <f>'ATT H-2A'!F168</f>
        <v>Line 5</v>
      </c>
      <c r="G142" s="99"/>
      <c r="H142" s="99"/>
      <c r="J142" s="99"/>
      <c r="K142" s="99"/>
      <c r="L142" s="99"/>
      <c r="M142" s="99"/>
      <c r="N142" s="99"/>
      <c r="O142" s="99"/>
      <c r="P142" s="99"/>
      <c r="Q142" s="282"/>
    </row>
    <row r="143" spans="1:17" ht="15.5" hidden="1">
      <c r="A143" s="192">
        <f>'ATT H-2A'!A169</f>
        <v>90</v>
      </c>
      <c r="B143" s="229"/>
      <c r="C143" s="178" t="str">
        <f>'ATT H-2A'!C169</f>
        <v>General Depreciation Allocated to Transmission</v>
      </c>
      <c r="D143" s="84"/>
      <c r="E143" s="163"/>
      <c r="F143" s="191" t="str">
        <f>'ATT H-2A'!F169</f>
        <v>(Line 88 * 89)</v>
      </c>
      <c r="G143" s="99"/>
      <c r="H143" s="99"/>
      <c r="J143" s="99"/>
      <c r="K143" s="99"/>
      <c r="L143" s="99"/>
      <c r="M143" s="99"/>
      <c r="N143" s="99"/>
      <c r="O143" s="99"/>
      <c r="P143" s="99"/>
      <c r="Q143" s="282"/>
    </row>
    <row r="144" spans="1:17" ht="15.5" hidden="1">
      <c r="A144" s="192"/>
      <c r="B144" s="163"/>
      <c r="C144" s="184"/>
      <c r="D144" s="148"/>
      <c r="E144" s="200"/>
      <c r="F144" s="198"/>
      <c r="G144" s="99"/>
      <c r="H144" s="99"/>
      <c r="J144" s="99"/>
      <c r="K144" s="99"/>
      <c r="L144" s="99"/>
      <c r="M144" s="99"/>
      <c r="N144" s="99"/>
      <c r="O144" s="99"/>
      <c r="P144" s="99"/>
      <c r="Q144" s="282"/>
    </row>
    <row r="145" spans="1:17" ht="15.5">
      <c r="A145" s="192">
        <f>'ATT H-2A'!A171</f>
        <v>91</v>
      </c>
      <c r="B145" s="216"/>
      <c r="C145" s="165" t="str">
        <f>'ATT H-2A'!C171</f>
        <v>Common Depreciation - Electric Only</v>
      </c>
      <c r="D145" s="148"/>
      <c r="E145" s="230" t="str">
        <f>'ATT H-2A'!E171</f>
        <v>(Note A)</v>
      </c>
      <c r="F145" s="219" t="str">
        <f>'ATT H-2A'!F171</f>
        <v>Attachment 5</v>
      </c>
      <c r="G145" s="134" t="s">
        <v>451</v>
      </c>
      <c r="H145" s="99"/>
      <c r="J145" s="99"/>
      <c r="K145" s="99"/>
      <c r="L145" s="99"/>
      <c r="M145" s="99"/>
      <c r="N145" s="99"/>
      <c r="O145" s="99"/>
      <c r="P145" s="99"/>
      <c r="Q145" s="282"/>
    </row>
    <row r="146" spans="1:17" ht="15.5">
      <c r="A146" s="201">
        <f>'ATT H-2A'!A172</f>
        <v>92</v>
      </c>
      <c r="B146" s="216"/>
      <c r="C146" s="165" t="str">
        <f>'ATT H-2A'!C172</f>
        <v>Common Amortization - Electric Only</v>
      </c>
      <c r="D146" s="148"/>
      <c r="E146" s="230" t="str">
        <f>'ATT H-2A'!E172</f>
        <v>(Note A)</v>
      </c>
      <c r="F146" s="219" t="str">
        <f>'ATT H-2A'!F172</f>
        <v>Attachment 5</v>
      </c>
      <c r="G146" s="134" t="s">
        <v>451</v>
      </c>
      <c r="H146" s="99"/>
      <c r="J146" s="99"/>
      <c r="K146" s="99"/>
      <c r="L146" s="99"/>
      <c r="M146" s="99"/>
      <c r="N146" s="99"/>
      <c r="O146" s="99"/>
      <c r="P146" s="99"/>
      <c r="Q146" s="282"/>
    </row>
    <row r="147" spans="1:17" ht="15.5" hidden="1">
      <c r="A147" s="201">
        <f>'ATT H-2A'!A173</f>
        <v>93</v>
      </c>
      <c r="B147" s="216"/>
      <c r="C147" s="165" t="str">
        <f>'ATT H-2A'!C173</f>
        <v>Total</v>
      </c>
      <c r="D147" s="148"/>
      <c r="E147" s="182"/>
      <c r="F147" s="191" t="str">
        <f>'ATT H-2A'!F173</f>
        <v>(Line 91 + 92)</v>
      </c>
      <c r="G147" s="99"/>
      <c r="H147" s="99"/>
      <c r="I147" s="99"/>
      <c r="J147" s="99"/>
      <c r="K147" s="99"/>
      <c r="L147" s="99"/>
      <c r="M147" s="99"/>
      <c r="N147" s="99"/>
      <c r="O147" s="99"/>
      <c r="P147" s="99"/>
      <c r="Q147" s="282"/>
    </row>
    <row r="148" spans="1:17" ht="15.5" hidden="1">
      <c r="A148" s="192">
        <f>'ATT H-2A'!A174</f>
        <v>94</v>
      </c>
      <c r="B148" s="216"/>
      <c r="C148" s="165" t="str">
        <f>'ATT H-2A'!C174</f>
        <v>Wage &amp; Salary Allocation Factor</v>
      </c>
      <c r="D148" s="162"/>
      <c r="E148" s="139"/>
      <c r="F148" s="226" t="str">
        <f>'ATT H-2A'!F174</f>
        <v>(Line 5)</v>
      </c>
      <c r="G148" s="99"/>
      <c r="H148" s="99"/>
      <c r="I148" s="99"/>
      <c r="J148" s="99"/>
      <c r="K148" s="99"/>
      <c r="L148" s="99"/>
      <c r="M148" s="99"/>
      <c r="N148" s="99"/>
      <c r="O148" s="99"/>
      <c r="P148" s="99"/>
      <c r="Q148" s="282"/>
    </row>
    <row r="149" spans="1:17" ht="15.5" hidden="1">
      <c r="A149" s="192">
        <f>'ATT H-2A'!A175</f>
        <v>95</v>
      </c>
      <c r="B149" s="216"/>
      <c r="C149" s="178" t="str">
        <f>'ATT H-2A'!C175</f>
        <v>Common Depreciation - Electric Only Allocated to Transmission</v>
      </c>
      <c r="D149" s="148"/>
      <c r="E149" s="182"/>
      <c r="F149" s="191" t="str">
        <f>'ATT H-2A'!F175</f>
        <v>(Line 93 * 94)</v>
      </c>
      <c r="G149" s="99"/>
      <c r="H149" s="99"/>
      <c r="I149" s="99"/>
      <c r="J149" s="99"/>
      <c r="K149" s="99"/>
      <c r="L149" s="99"/>
      <c r="M149" s="99"/>
      <c r="N149" s="99"/>
      <c r="O149" s="99"/>
      <c r="P149" s="99"/>
      <c r="Q149" s="282"/>
    </row>
    <row r="150" spans="1:17" ht="15.5" hidden="1">
      <c r="A150" s="192"/>
      <c r="B150" s="163"/>
      <c r="C150" s="184"/>
      <c r="D150" s="148"/>
      <c r="E150" s="200"/>
      <c r="F150" s="198"/>
      <c r="G150" s="99"/>
      <c r="H150" s="99"/>
      <c r="I150" s="99"/>
      <c r="J150" s="99"/>
      <c r="K150" s="99"/>
      <c r="L150" s="99"/>
      <c r="M150" s="99"/>
      <c r="N150" s="99"/>
      <c r="O150" s="99"/>
      <c r="P150" s="99"/>
      <c r="Q150" s="282"/>
    </row>
    <row r="151" spans="1:17" ht="15.5" hidden="1">
      <c r="A151" s="192"/>
      <c r="B151" s="163"/>
      <c r="C151" s="184"/>
      <c r="D151" s="148"/>
      <c r="E151" s="200"/>
      <c r="F151" s="198"/>
      <c r="G151" s="99"/>
      <c r="H151" s="99"/>
      <c r="I151" s="99"/>
      <c r="J151" s="99"/>
      <c r="K151" s="99"/>
      <c r="L151" s="99"/>
      <c r="M151" s="99"/>
      <c r="N151" s="99"/>
      <c r="O151" s="99"/>
      <c r="P151" s="99"/>
      <c r="Q151" s="282"/>
    </row>
    <row r="152" spans="1:17" ht="15.5" hidden="1">
      <c r="A152" s="192">
        <f>'ATT H-2A'!A178</f>
        <v>96</v>
      </c>
      <c r="B152" s="178" t="str">
        <f>'ATT H-2A'!B178</f>
        <v>Total Transmission Depreciation &amp; Amortization</v>
      </c>
      <c r="C152" s="178"/>
      <c r="D152" s="171"/>
      <c r="E152" s="244"/>
      <c r="F152" s="236" t="str">
        <f>'ATT H-2A'!F178</f>
        <v>(Line 85 + 85a + 90 + 95)</v>
      </c>
      <c r="G152" s="99"/>
      <c r="H152" s="99"/>
      <c r="I152" s="99"/>
      <c r="J152" s="99"/>
      <c r="K152" s="99"/>
      <c r="L152" s="99"/>
      <c r="M152" s="99"/>
      <c r="N152" s="99"/>
      <c r="O152" s="99"/>
      <c r="P152" s="99"/>
      <c r="Q152" s="282"/>
    </row>
    <row r="153" spans="1:17" ht="15.5" hidden="1">
      <c r="A153" s="192"/>
      <c r="B153" s="163"/>
      <c r="C153" s="184"/>
      <c r="D153" s="148"/>
      <c r="E153" s="200"/>
      <c r="F153" s="198"/>
      <c r="G153" s="99"/>
      <c r="H153" s="99"/>
      <c r="I153" s="99"/>
      <c r="J153" s="99"/>
      <c r="K153" s="99"/>
      <c r="L153" s="99"/>
      <c r="M153" s="99"/>
      <c r="N153" s="99"/>
      <c r="O153" s="99"/>
      <c r="P153" s="99"/>
      <c r="Q153" s="282"/>
    </row>
    <row r="154" spans="1:17" ht="15.5" hidden="1">
      <c r="A154" s="204" t="str">
        <f>'ATT H-2A'!A180</f>
        <v xml:space="preserve">Taxes Other than Income                                                    </v>
      </c>
      <c r="B154" s="149"/>
      <c r="C154" s="225"/>
      <c r="D154" s="150"/>
      <c r="E154" s="151"/>
      <c r="F154" s="205"/>
      <c r="G154" s="99"/>
      <c r="H154" s="99"/>
      <c r="I154" s="99"/>
      <c r="J154" s="99"/>
      <c r="K154" s="99"/>
      <c r="L154" s="99"/>
      <c r="M154" s="99"/>
      <c r="N154" s="99"/>
      <c r="O154" s="99"/>
      <c r="P154" s="99"/>
      <c r="Q154" s="282"/>
    </row>
    <row r="155" spans="1:17" ht="15.5" hidden="1">
      <c r="A155" s="192"/>
      <c r="B155" s="163"/>
      <c r="C155" s="184"/>
      <c r="D155" s="148"/>
      <c r="E155" s="200"/>
      <c r="F155" s="198"/>
      <c r="G155" s="99"/>
      <c r="H155" s="99"/>
      <c r="I155" s="99"/>
      <c r="J155" s="99"/>
      <c r="K155" s="99"/>
      <c r="L155" s="99"/>
      <c r="M155" s="99"/>
      <c r="N155" s="99"/>
      <c r="O155" s="99"/>
      <c r="P155" s="99"/>
      <c r="Q155" s="282"/>
    </row>
    <row r="156" spans="1:17" ht="15.5" hidden="1">
      <c r="A156" s="201">
        <f>'ATT H-2A'!A182</f>
        <v>97</v>
      </c>
      <c r="B156" s="157" t="str">
        <f>'ATT H-2A'!B182</f>
        <v>Taxes Other than Income</v>
      </c>
      <c r="C156" s="214"/>
      <c r="D156" s="84"/>
      <c r="E156" s="139"/>
      <c r="F156" s="196" t="str">
        <f>'ATT H-2A'!F182</f>
        <v>Attachment 2</v>
      </c>
      <c r="G156" s="99"/>
      <c r="H156" s="99"/>
      <c r="I156" s="99"/>
      <c r="J156" s="99"/>
      <c r="K156" s="99"/>
      <c r="L156" s="99"/>
      <c r="M156" s="99"/>
      <c r="N156" s="99"/>
      <c r="O156" s="99"/>
      <c r="P156" s="99"/>
      <c r="Q156" s="282"/>
    </row>
    <row r="157" spans="1:17" ht="15.5" hidden="1">
      <c r="A157" s="192"/>
      <c r="B157" s="163"/>
      <c r="C157" s="184"/>
      <c r="D157" s="148"/>
      <c r="E157" s="200"/>
      <c r="F157" s="198"/>
      <c r="G157" s="99"/>
      <c r="H157" s="99"/>
      <c r="I157" s="99"/>
      <c r="J157" s="99"/>
      <c r="K157" s="99"/>
      <c r="L157" s="99"/>
      <c r="M157" s="99"/>
      <c r="N157" s="99"/>
      <c r="O157" s="99"/>
      <c r="P157" s="99"/>
      <c r="Q157" s="282"/>
    </row>
    <row r="158" spans="1:17" ht="15.5" hidden="1">
      <c r="A158" s="201">
        <f>'ATT H-2A'!A184</f>
        <v>98</v>
      </c>
      <c r="B158" s="184" t="str">
        <f>'ATT H-2A'!B184</f>
        <v>Total Taxes Other than Income</v>
      </c>
      <c r="C158" s="184"/>
      <c r="D158" s="171"/>
      <c r="E158" s="172"/>
      <c r="F158" s="236" t="str">
        <f>'ATT H-2A'!F184</f>
        <v>(Line 97)</v>
      </c>
      <c r="G158" s="99"/>
      <c r="H158" s="99"/>
      <c r="I158" s="99"/>
      <c r="J158" s="99"/>
      <c r="K158" s="99"/>
      <c r="L158" s="99"/>
      <c r="M158" s="99"/>
      <c r="N158" s="99"/>
      <c r="O158" s="99"/>
      <c r="P158" s="99"/>
      <c r="Q158" s="282"/>
    </row>
    <row r="159" spans="1:17" ht="15.5" hidden="1">
      <c r="A159" s="192"/>
      <c r="B159" s="163"/>
      <c r="C159" s="184"/>
      <c r="D159" s="148"/>
      <c r="E159" s="200"/>
      <c r="F159" s="198"/>
      <c r="G159" s="99"/>
      <c r="H159" s="99"/>
      <c r="I159" s="99"/>
      <c r="J159" s="99"/>
      <c r="K159" s="99"/>
      <c r="L159" s="99"/>
      <c r="M159" s="99"/>
      <c r="N159" s="99"/>
      <c r="O159" s="99"/>
      <c r="P159" s="99"/>
      <c r="Q159" s="282"/>
    </row>
    <row r="160" spans="1:17" ht="15.5" hidden="1">
      <c r="A160" s="204" t="str">
        <f>'ATT H-2A'!A186</f>
        <v>Return / Capitalization Calculations</v>
      </c>
      <c r="B160" s="149"/>
      <c r="C160" s="225"/>
      <c r="D160" s="150"/>
      <c r="E160" s="151"/>
      <c r="F160" s="205"/>
      <c r="G160" s="99"/>
      <c r="H160" s="99"/>
      <c r="I160" s="99"/>
      <c r="J160" s="99"/>
      <c r="K160" s="99"/>
      <c r="L160" s="99"/>
      <c r="M160" s="99"/>
      <c r="N160" s="99"/>
      <c r="O160" s="99"/>
      <c r="P160" s="99"/>
      <c r="Q160" s="282"/>
    </row>
    <row r="161" spans="1:17" ht="15.5" hidden="1">
      <c r="A161" s="192"/>
      <c r="B161" s="163"/>
      <c r="C161" s="184"/>
      <c r="D161" s="148"/>
      <c r="E161" s="200"/>
      <c r="F161" s="198"/>
      <c r="G161" s="99"/>
      <c r="H161" s="99"/>
      <c r="I161" s="99"/>
      <c r="J161" s="99"/>
      <c r="K161" s="99"/>
      <c r="L161" s="99"/>
      <c r="M161" s="99"/>
      <c r="N161" s="99"/>
      <c r="O161" s="99"/>
      <c r="P161" s="99"/>
      <c r="Q161" s="282"/>
    </row>
    <row r="162" spans="1:17" ht="15.5" hidden="1">
      <c r="A162" s="201"/>
      <c r="B162" s="167" t="str">
        <f>'ATT H-2A'!B188</f>
        <v>Long Term Interest</v>
      </c>
      <c r="C162" s="84"/>
      <c r="D162" s="84"/>
      <c r="E162" s="156"/>
      <c r="F162" s="195"/>
      <c r="G162" s="99"/>
      <c r="H162" s="99"/>
      <c r="I162" s="99"/>
      <c r="J162" s="99"/>
      <c r="K162" s="99"/>
      <c r="L162" s="99"/>
      <c r="M162" s="99"/>
      <c r="N162" s="99"/>
      <c r="O162" s="99"/>
      <c r="P162" s="99"/>
      <c r="Q162" s="282"/>
    </row>
    <row r="163" spans="1:17" ht="15.5" hidden="1">
      <c r="A163" s="201">
        <f>'ATT H-2A'!A189</f>
        <v>99</v>
      </c>
      <c r="B163" s="167"/>
      <c r="C163" s="84" t="str">
        <f>'ATT H-2A'!C189</f>
        <v>Long Term Interest</v>
      </c>
      <c r="D163" s="84"/>
      <c r="E163" s="156"/>
      <c r="F163" s="191" t="str">
        <f>'ATT H-2A'!F189</f>
        <v>p117.62c through 67c</v>
      </c>
      <c r="G163" s="99"/>
      <c r="H163" s="99"/>
      <c r="I163" s="99"/>
      <c r="J163" s="99"/>
      <c r="K163" s="99"/>
      <c r="L163" s="99"/>
      <c r="M163" s="99"/>
      <c r="N163" s="99"/>
      <c r="O163" s="99"/>
      <c r="P163" s="99"/>
      <c r="Q163" s="282"/>
    </row>
    <row r="164" spans="1:17" ht="15.5" hidden="1">
      <c r="A164" s="192">
        <f>'ATT H-2A'!A190</f>
        <v>100</v>
      </c>
      <c r="B164" s="163"/>
      <c r="C164" s="246" t="str">
        <f>'ATT H-2A'!C190</f>
        <v xml:space="preserve">    Less LTD Interest on Securitization Bonds</v>
      </c>
      <c r="D164" s="84"/>
      <c r="E164" s="156"/>
      <c r="F164" s="202" t="str">
        <f>'ATT H-2A'!F190</f>
        <v>Attachment 8</v>
      </c>
      <c r="G164" s="99"/>
      <c r="H164" s="99"/>
      <c r="I164" s="99"/>
      <c r="J164" s="99"/>
      <c r="K164" s="99"/>
      <c r="L164" s="99"/>
      <c r="M164" s="99"/>
      <c r="N164" s="99"/>
      <c r="O164" s="99"/>
      <c r="P164" s="99"/>
      <c r="Q164" s="282"/>
    </row>
    <row r="165" spans="1:17" ht="15.5" hidden="1">
      <c r="A165" s="192">
        <f>'ATT H-2A'!A191</f>
        <v>101</v>
      </c>
      <c r="B165" s="163"/>
      <c r="C165" s="167" t="str">
        <f>'ATT H-2A'!C191</f>
        <v>Long Term Interest</v>
      </c>
      <c r="D165" s="84"/>
      <c r="E165" s="139"/>
      <c r="F165" s="191" t="str">
        <f>'ATT H-2A'!F191</f>
        <v>(Line 99 - 100)</v>
      </c>
      <c r="G165" s="99"/>
      <c r="H165" s="99"/>
      <c r="I165" s="99"/>
      <c r="J165" s="99"/>
      <c r="K165" s="99"/>
      <c r="L165" s="99"/>
      <c r="M165" s="99"/>
      <c r="N165" s="99"/>
      <c r="O165" s="99"/>
      <c r="P165" s="99"/>
      <c r="Q165" s="282"/>
    </row>
    <row r="166" spans="1:17" ht="15.5" hidden="1">
      <c r="A166" s="192"/>
      <c r="B166" s="163"/>
      <c r="C166" s="184"/>
      <c r="D166" s="148"/>
      <c r="E166" s="200"/>
      <c r="F166" s="198"/>
      <c r="G166" s="99"/>
      <c r="H166" s="99"/>
      <c r="I166" s="99"/>
      <c r="J166" s="99"/>
      <c r="K166" s="99"/>
      <c r="L166" s="99"/>
      <c r="M166" s="99"/>
      <c r="N166" s="99"/>
      <c r="O166" s="99"/>
      <c r="P166" s="99"/>
      <c r="Q166" s="282"/>
    </row>
    <row r="167" spans="1:17" ht="15.5" hidden="1">
      <c r="A167" s="192">
        <f>'ATT H-2A'!A193</f>
        <v>102</v>
      </c>
      <c r="B167" s="167" t="str">
        <f>'ATT H-2A'!B193</f>
        <v>Preferred Dividends</v>
      </c>
      <c r="C167" s="84"/>
      <c r="D167" s="84"/>
      <c r="E167" s="156" t="str">
        <f>'ATT H-2A'!E193</f>
        <v xml:space="preserve"> enter positive</v>
      </c>
      <c r="F167" s="191" t="str">
        <f>'ATT H-2A'!F193</f>
        <v>p118.29c</v>
      </c>
      <c r="G167" s="99"/>
      <c r="H167" s="99"/>
      <c r="I167" s="99"/>
      <c r="J167" s="99"/>
      <c r="K167" s="99"/>
      <c r="L167" s="99"/>
      <c r="M167" s="99"/>
      <c r="N167" s="99"/>
      <c r="O167" s="99"/>
      <c r="P167" s="99"/>
      <c r="Q167" s="282"/>
    </row>
    <row r="168" spans="1:17" ht="15.5" hidden="1">
      <c r="A168" s="192"/>
      <c r="B168" s="163"/>
      <c r="C168" s="184"/>
      <c r="D168" s="148"/>
      <c r="E168" s="200"/>
      <c r="F168" s="198"/>
      <c r="G168" s="99"/>
      <c r="H168" s="99"/>
      <c r="I168" s="99"/>
      <c r="J168" s="99"/>
      <c r="K168" s="99"/>
      <c r="L168" s="99"/>
      <c r="M168" s="99"/>
      <c r="N168" s="99"/>
      <c r="O168" s="99"/>
      <c r="P168" s="99"/>
      <c r="Q168" s="282"/>
    </row>
    <row r="169" spans="1:17" ht="15.5" hidden="1">
      <c r="A169" s="192"/>
      <c r="B169" s="170" t="str">
        <f>'ATT H-2A'!B195</f>
        <v>Common Stock</v>
      </c>
      <c r="C169" s="84"/>
      <c r="D169" s="84"/>
      <c r="E169" s="156"/>
      <c r="F169" s="191"/>
      <c r="G169" s="99"/>
      <c r="H169" s="99"/>
      <c r="I169" s="99"/>
      <c r="J169" s="99"/>
      <c r="K169" s="99"/>
      <c r="L169" s="99"/>
      <c r="M169" s="99"/>
      <c r="N169" s="99"/>
      <c r="O169" s="99"/>
      <c r="P169" s="99"/>
      <c r="Q169" s="282"/>
    </row>
    <row r="170" spans="1:17" ht="15.5" hidden="1">
      <c r="A170" s="192">
        <f>'ATT H-2A'!A196</f>
        <v>103</v>
      </c>
      <c r="B170" s="163"/>
      <c r="C170" s="154" t="str">
        <f>'ATT H-2A'!C196</f>
        <v>Proprietary Capital</v>
      </c>
      <c r="D170" s="154"/>
      <c r="E170" s="156"/>
      <c r="F170" s="191" t="str">
        <f>'ATT H-2A'!F196</f>
        <v>p112.16c</v>
      </c>
      <c r="G170" s="99"/>
      <c r="H170" s="99"/>
      <c r="I170" s="99"/>
      <c r="J170" s="99"/>
      <c r="K170" s="99"/>
      <c r="L170" s="99"/>
      <c r="M170" s="99"/>
      <c r="N170" s="99"/>
      <c r="O170" s="99"/>
      <c r="P170" s="99"/>
      <c r="Q170" s="282"/>
    </row>
    <row r="171" spans="1:17" ht="15.5" hidden="1">
      <c r="A171" s="201">
        <f>'ATT H-2A'!A197</f>
        <v>104</v>
      </c>
      <c r="B171" s="182"/>
      <c r="C171" s="158" t="str">
        <f>'ATT H-2A'!C197</f>
        <v xml:space="preserve">    Less Preferred Stock</v>
      </c>
      <c r="D171" s="158"/>
      <c r="E171" s="200" t="str">
        <f>'ATT H-2A'!E197</f>
        <v>enter negative</v>
      </c>
      <c r="F171" s="198" t="str">
        <f>'ATT H-2A'!F197</f>
        <v>(Line 192)</v>
      </c>
      <c r="G171" s="99"/>
      <c r="H171" s="99"/>
      <c r="I171" s="99"/>
      <c r="J171" s="99"/>
      <c r="K171" s="99"/>
      <c r="L171" s="99"/>
      <c r="M171" s="99"/>
      <c r="N171" s="99"/>
      <c r="O171" s="99"/>
      <c r="P171" s="99"/>
      <c r="Q171" s="282"/>
    </row>
    <row r="172" spans="1:17" ht="15.5" hidden="1">
      <c r="A172" s="192" t="e">
        <f>'ATT H-2A'!#REF!</f>
        <v>#REF!</v>
      </c>
      <c r="B172" s="182"/>
      <c r="C172" s="158" t="e">
        <f>'ATT H-2A'!#REF!</f>
        <v>#REF!</v>
      </c>
      <c r="D172" s="200"/>
      <c r="E172" s="156"/>
      <c r="F172" s="202" t="e">
        <f>'ATT H-2A'!#REF!</f>
        <v>#REF!</v>
      </c>
      <c r="G172" s="99"/>
      <c r="H172" s="99"/>
      <c r="I172" s="99"/>
      <c r="J172" s="99"/>
      <c r="K172" s="99"/>
      <c r="L172" s="99"/>
      <c r="M172" s="99"/>
      <c r="N172" s="99"/>
      <c r="O172" s="99"/>
      <c r="P172" s="99"/>
      <c r="Q172" s="282"/>
    </row>
    <row r="173" spans="1:17" ht="15.5" hidden="1">
      <c r="A173" s="192" t="str">
        <f>'ATT H-2A'!A199</f>
        <v>105a</v>
      </c>
      <c r="B173" s="182"/>
      <c r="C173" s="158" t="str">
        <f>'ATT H-2A'!C199</f>
        <v xml:space="preserve">    Less Account 219</v>
      </c>
      <c r="D173" s="158"/>
      <c r="E173" s="200" t="str">
        <f>'ATT H-2A'!E199</f>
        <v>enter negative</v>
      </c>
      <c r="F173" s="202" t="str">
        <f>'ATT H-2A'!F199</f>
        <v>p112.15c</v>
      </c>
      <c r="G173" s="99"/>
      <c r="H173" s="99"/>
      <c r="I173" s="99"/>
      <c r="J173" s="99"/>
      <c r="K173" s="99"/>
      <c r="L173" s="99"/>
      <c r="M173" s="99"/>
      <c r="N173" s="99"/>
      <c r="O173" s="99"/>
      <c r="P173" s="99"/>
      <c r="Q173" s="282"/>
    </row>
    <row r="174" spans="1:17" ht="15.5" hidden="1">
      <c r="A174" s="192">
        <f>'ATT H-2A'!A200</f>
        <v>106</v>
      </c>
      <c r="B174" s="182"/>
      <c r="C174" s="168" t="str">
        <f>'ATT H-2A'!C200</f>
        <v>Common Stock</v>
      </c>
      <c r="D174" s="158"/>
      <c r="E174" s="169"/>
      <c r="F174" s="191" t="str">
        <f>'ATT H-2A'!F200</f>
        <v>(Sum Lines 103 to 105a)</v>
      </c>
      <c r="G174" s="99"/>
      <c r="H174" s="99"/>
      <c r="I174" s="99"/>
      <c r="J174" s="99"/>
      <c r="K174" s="99"/>
      <c r="L174" s="99"/>
      <c r="M174" s="99"/>
      <c r="N174" s="99"/>
      <c r="O174" s="99"/>
      <c r="P174" s="99"/>
      <c r="Q174" s="282"/>
    </row>
    <row r="175" spans="1:17" ht="15.5" hidden="1">
      <c r="A175" s="192"/>
      <c r="B175" s="163"/>
      <c r="C175" s="184"/>
      <c r="D175" s="148"/>
      <c r="E175" s="200"/>
      <c r="F175" s="198"/>
      <c r="G175" s="99"/>
      <c r="H175" s="99"/>
      <c r="I175" s="99"/>
      <c r="J175" s="99"/>
      <c r="K175" s="99"/>
      <c r="L175" s="99"/>
      <c r="M175" s="99"/>
      <c r="N175" s="99"/>
      <c r="O175" s="99"/>
      <c r="P175" s="99"/>
      <c r="Q175" s="282"/>
    </row>
    <row r="176" spans="1:17" ht="15.5" hidden="1">
      <c r="A176" s="192"/>
      <c r="B176" s="170" t="str">
        <f>'ATT H-2A'!B202</f>
        <v>Capitalization</v>
      </c>
      <c r="C176" s="84"/>
      <c r="D176" s="84"/>
      <c r="E176" s="156"/>
      <c r="F176" s="191"/>
      <c r="G176" s="99"/>
      <c r="H176" s="99"/>
      <c r="I176" s="99"/>
      <c r="J176" s="99"/>
      <c r="K176" s="99"/>
      <c r="L176" s="99"/>
      <c r="M176" s="99"/>
      <c r="N176" s="99"/>
      <c r="O176" s="99"/>
      <c r="P176" s="99"/>
      <c r="Q176" s="282"/>
    </row>
    <row r="177" spans="1:17" ht="15.5" hidden="1">
      <c r="A177" s="192">
        <f>'ATT H-2A'!A203</f>
        <v>107</v>
      </c>
      <c r="B177" s="163"/>
      <c r="C177" s="155" t="str">
        <f>'ATT H-2A'!C203</f>
        <v>Long Term Debt</v>
      </c>
      <c r="D177" s="84"/>
      <c r="E177" s="163"/>
      <c r="F177" s="231" t="str">
        <f>'ATT H-2A'!F203</f>
        <v>p112.18d through 21d</v>
      </c>
      <c r="G177" s="99"/>
      <c r="H177" s="99"/>
      <c r="I177" s="99"/>
      <c r="J177" s="99"/>
      <c r="K177" s="99"/>
      <c r="L177" s="99"/>
      <c r="M177" s="99"/>
      <c r="N177" s="99"/>
      <c r="O177" s="99"/>
      <c r="P177" s="99"/>
      <c r="Q177" s="282"/>
    </row>
    <row r="178" spans="1:17" ht="15.5" hidden="1">
      <c r="A178" s="201">
        <f>'ATT H-2A'!A204</f>
        <v>108</v>
      </c>
      <c r="B178" s="163"/>
      <c r="C178" s="155" t="str">
        <f>'ATT H-2A'!C204</f>
        <v xml:space="preserve">      Less Loss on Reacquired Debt </v>
      </c>
      <c r="D178" s="84"/>
      <c r="E178" s="156" t="str">
        <f>'ATT H-2A'!E204</f>
        <v>enter negative</v>
      </c>
      <c r="F178" s="227" t="str">
        <f>'ATT H-2A'!F204</f>
        <v>p111.81.c</v>
      </c>
      <c r="G178" s="99"/>
      <c r="H178" s="99"/>
      <c r="I178" s="99"/>
      <c r="J178" s="99"/>
      <c r="K178" s="99"/>
      <c r="L178" s="99"/>
      <c r="M178" s="99"/>
      <c r="N178" s="99"/>
      <c r="O178" s="99"/>
      <c r="P178" s="99"/>
      <c r="Q178" s="282"/>
    </row>
    <row r="179" spans="1:17" ht="15.5" hidden="1">
      <c r="A179" s="201">
        <f>'ATT H-2A'!A205</f>
        <v>109</v>
      </c>
      <c r="B179" s="163"/>
      <c r="C179" s="155" t="str">
        <f>'ATT H-2A'!C205</f>
        <v xml:space="preserve">      Plus Gain on Reacquired Debt</v>
      </c>
      <c r="D179" s="84"/>
      <c r="E179" s="163" t="str">
        <f>'ATT H-2A'!E205</f>
        <v>enter positive</v>
      </c>
      <c r="F179" s="227" t="str">
        <f>'ATT H-2A'!F205</f>
        <v>p113.61c</v>
      </c>
      <c r="G179" s="99"/>
      <c r="H179" s="99"/>
      <c r="I179" s="99"/>
      <c r="J179" s="99"/>
      <c r="K179" s="99"/>
      <c r="L179" s="99"/>
      <c r="M179" s="99"/>
      <c r="N179" s="99"/>
      <c r="O179" s="99"/>
      <c r="P179" s="99"/>
      <c r="Q179" s="282"/>
    </row>
    <row r="180" spans="1:17" ht="15.5" hidden="1">
      <c r="A180" s="192">
        <f>'ATT H-2A'!A207</f>
        <v>111</v>
      </c>
      <c r="B180" s="163"/>
      <c r="C180" s="174" t="str">
        <f>'ATT H-2A'!C207</f>
        <v xml:space="preserve">      Less LTD on Securitization Bonds</v>
      </c>
      <c r="D180" s="174"/>
      <c r="E180" s="156" t="str">
        <f>'ATT H-2A'!E207</f>
        <v>enter negative</v>
      </c>
      <c r="F180" s="202" t="str">
        <f>'ATT H-2A'!F207</f>
        <v>Attachment 8</v>
      </c>
      <c r="G180" s="99"/>
      <c r="H180" s="99"/>
      <c r="I180" s="99"/>
      <c r="J180" s="99"/>
      <c r="K180" s="99"/>
      <c r="L180" s="99"/>
      <c r="M180" s="99"/>
      <c r="N180" s="99"/>
      <c r="O180" s="99"/>
      <c r="P180" s="99"/>
      <c r="Q180" s="282"/>
    </row>
    <row r="181" spans="1:17" ht="15.5" hidden="1">
      <c r="A181" s="192">
        <f>'ATT H-2A'!A208</f>
        <v>112</v>
      </c>
      <c r="B181" s="182"/>
      <c r="C181" s="159" t="str">
        <f>'ATT H-2A'!C208</f>
        <v>Total Long Term Debt</v>
      </c>
      <c r="D181" s="84"/>
      <c r="E181" s="169"/>
      <c r="F181" s="191" t="str">
        <f>'ATT H-2A'!F208</f>
        <v>(Sum Lines 107 to 111)</v>
      </c>
      <c r="G181" s="99"/>
      <c r="H181" s="99"/>
      <c r="I181" s="99"/>
      <c r="J181" s="99"/>
      <c r="K181" s="99"/>
      <c r="L181" s="99"/>
      <c r="M181" s="99"/>
      <c r="N181" s="99"/>
      <c r="O181" s="99"/>
      <c r="P181" s="99"/>
      <c r="Q181" s="282"/>
    </row>
    <row r="182" spans="1:17" ht="15.5" hidden="1">
      <c r="A182" s="192">
        <f>'ATT H-2A'!A209</f>
        <v>113</v>
      </c>
      <c r="B182" s="163"/>
      <c r="C182" s="155" t="str">
        <f>'ATT H-2A'!C209</f>
        <v>Preferred Stock</v>
      </c>
      <c r="D182" s="84"/>
      <c r="E182" s="163"/>
      <c r="F182" s="231" t="str">
        <f>'ATT H-2A'!F209</f>
        <v>p112.3c</v>
      </c>
      <c r="G182" s="99"/>
      <c r="H182" s="99"/>
      <c r="I182" s="99"/>
      <c r="J182" s="99"/>
      <c r="K182" s="99"/>
      <c r="L182" s="99"/>
      <c r="M182" s="99"/>
      <c r="N182" s="99"/>
      <c r="O182" s="99"/>
      <c r="P182" s="99"/>
      <c r="Q182" s="282"/>
    </row>
    <row r="183" spans="1:17" ht="15.5" hidden="1">
      <c r="A183" s="192">
        <f>'ATT H-2A'!A210</f>
        <v>114</v>
      </c>
      <c r="B183" s="163"/>
      <c r="C183" s="155" t="str">
        <f>'ATT H-2A'!C210</f>
        <v>Common Stock</v>
      </c>
      <c r="D183" s="84"/>
      <c r="E183" s="139"/>
      <c r="F183" s="191" t="str">
        <f>'ATT H-2A'!F210</f>
        <v>(Line 106)</v>
      </c>
      <c r="G183" s="99"/>
      <c r="H183" s="99"/>
      <c r="I183" s="99"/>
      <c r="J183" s="99"/>
      <c r="K183" s="99"/>
      <c r="L183" s="99"/>
      <c r="M183" s="99"/>
      <c r="N183" s="99"/>
      <c r="O183" s="99"/>
      <c r="P183" s="99"/>
      <c r="Q183" s="282"/>
    </row>
    <row r="184" spans="1:17" ht="15.5" hidden="1">
      <c r="A184" s="192">
        <f>'ATT H-2A'!A211</f>
        <v>115</v>
      </c>
      <c r="B184" s="163"/>
      <c r="C184" s="170" t="str">
        <f>'ATT H-2A'!C211</f>
        <v>Total  Capitalization</v>
      </c>
      <c r="D184" s="84"/>
      <c r="E184" s="139"/>
      <c r="F184" s="191" t="str">
        <f>'ATT H-2A'!F211</f>
        <v>(Sum Lines 112 to 114)</v>
      </c>
      <c r="G184" s="99"/>
      <c r="H184" s="99"/>
      <c r="I184" s="99"/>
      <c r="J184" s="99"/>
      <c r="K184" s="99"/>
      <c r="L184" s="99"/>
      <c r="M184" s="99"/>
      <c r="N184" s="99"/>
      <c r="O184" s="99"/>
      <c r="P184" s="99"/>
      <c r="Q184" s="282"/>
    </row>
    <row r="185" spans="1:17" ht="15.5" hidden="1">
      <c r="A185" s="192"/>
      <c r="B185" s="163"/>
      <c r="C185" s="184"/>
      <c r="D185" s="148"/>
      <c r="E185" s="200"/>
      <c r="F185" s="198"/>
      <c r="G185" s="99"/>
      <c r="H185" s="99"/>
      <c r="I185" s="99"/>
      <c r="J185" s="99"/>
      <c r="K185" s="99"/>
      <c r="L185" s="99"/>
      <c r="M185" s="99"/>
      <c r="N185" s="99"/>
      <c r="O185" s="99"/>
      <c r="P185" s="99"/>
      <c r="Q185" s="282"/>
    </row>
    <row r="186" spans="1:17" ht="15.5" hidden="1">
      <c r="A186" s="201">
        <f>'ATT H-2A'!A213</f>
        <v>116</v>
      </c>
      <c r="B186" s="163"/>
      <c r="C186" s="166" t="str">
        <f>'ATT H-2A'!C213</f>
        <v>Debt %</v>
      </c>
      <c r="D186" s="159" t="str">
        <f>'ATT H-2A'!D213</f>
        <v>Total Long Term Debt</v>
      </c>
      <c r="E186" s="139"/>
      <c r="F186" s="191" t="str">
        <f>'ATT H-2A'!F213</f>
        <v>(Line 112 / 115)</v>
      </c>
      <c r="G186" s="99"/>
      <c r="H186" s="99"/>
      <c r="I186" s="99"/>
      <c r="J186" s="99"/>
      <c r="K186" s="99"/>
      <c r="L186" s="99"/>
      <c r="M186" s="99"/>
      <c r="N186" s="99"/>
      <c r="O186" s="99"/>
      <c r="P186" s="99"/>
      <c r="Q186" s="282"/>
    </row>
    <row r="187" spans="1:17" ht="15.5" hidden="1">
      <c r="A187" s="201">
        <f>'ATT H-2A'!A214</f>
        <v>117</v>
      </c>
      <c r="B187" s="163"/>
      <c r="C187" s="166" t="str">
        <f>'ATT H-2A'!C214</f>
        <v>Preferred %</v>
      </c>
      <c r="D187" s="155" t="str">
        <f>'ATT H-2A'!D214</f>
        <v>Preferred Stock</v>
      </c>
      <c r="E187" s="139"/>
      <c r="F187" s="191" t="str">
        <f>'ATT H-2A'!F214</f>
        <v>(Line 113 / 115)</v>
      </c>
      <c r="G187" s="99"/>
      <c r="H187" s="99"/>
      <c r="I187" s="99"/>
      <c r="J187" s="99"/>
      <c r="K187" s="99"/>
      <c r="L187" s="99"/>
      <c r="M187" s="99"/>
      <c r="N187" s="99"/>
      <c r="O187" s="99"/>
      <c r="P187" s="99"/>
      <c r="Q187" s="282"/>
    </row>
    <row r="188" spans="1:17" ht="15.5" hidden="1">
      <c r="A188" s="201">
        <f>'ATT H-2A'!A215</f>
        <v>118</v>
      </c>
      <c r="B188" s="163"/>
      <c r="C188" s="166" t="str">
        <f>'ATT H-2A'!C215</f>
        <v>Common %</v>
      </c>
      <c r="D188" s="155" t="str">
        <f>'ATT H-2A'!D215</f>
        <v>Common Stock</v>
      </c>
      <c r="E188" s="139"/>
      <c r="F188" s="191" t="str">
        <f>'ATT H-2A'!F215</f>
        <v>(Line 114 / 115)</v>
      </c>
      <c r="G188" s="99"/>
      <c r="H188" s="99"/>
      <c r="I188" s="99"/>
      <c r="J188" s="99"/>
      <c r="K188" s="99"/>
      <c r="L188" s="99"/>
      <c r="M188" s="99"/>
      <c r="N188" s="99"/>
      <c r="O188" s="99"/>
      <c r="P188" s="99"/>
      <c r="Q188" s="282"/>
    </row>
    <row r="189" spans="1:17" ht="15.5" hidden="1">
      <c r="A189" s="192"/>
      <c r="B189" s="163"/>
      <c r="C189" s="184"/>
      <c r="D189" s="148"/>
      <c r="E189" s="200"/>
      <c r="F189" s="198"/>
      <c r="G189" s="99"/>
      <c r="H189" s="99"/>
      <c r="I189" s="99"/>
      <c r="J189" s="99"/>
      <c r="K189" s="99"/>
      <c r="L189" s="99"/>
      <c r="M189" s="99"/>
      <c r="N189" s="99"/>
      <c r="O189" s="99"/>
      <c r="P189" s="99"/>
      <c r="Q189" s="282"/>
    </row>
    <row r="190" spans="1:17" ht="15.5" hidden="1">
      <c r="A190" s="201">
        <f>'ATT H-2A'!A217</f>
        <v>119</v>
      </c>
      <c r="B190" s="163"/>
      <c r="C190" s="232" t="str">
        <f>'ATT H-2A'!C217</f>
        <v>Debt Cost</v>
      </c>
      <c r="D190" s="159" t="str">
        <f>'ATT H-2A'!D217</f>
        <v>Total Long Term Debt</v>
      </c>
      <c r="E190" s="139"/>
      <c r="F190" s="191" t="str">
        <f>'ATT H-2A'!F217</f>
        <v>(Line 101 / 112)</v>
      </c>
      <c r="G190" s="99"/>
      <c r="H190" s="99"/>
      <c r="I190" s="99"/>
      <c r="J190" s="99"/>
      <c r="K190" s="99"/>
      <c r="L190" s="99"/>
      <c r="M190" s="99"/>
      <c r="N190" s="99"/>
      <c r="O190" s="99"/>
      <c r="P190" s="99"/>
      <c r="Q190" s="282"/>
    </row>
    <row r="191" spans="1:17" ht="15.5" hidden="1">
      <c r="A191" s="201">
        <f>'ATT H-2A'!A218</f>
        <v>120</v>
      </c>
      <c r="B191" s="163"/>
      <c r="C191" s="232" t="str">
        <f>'ATT H-2A'!C218</f>
        <v>Preferred Cost</v>
      </c>
      <c r="D191" s="155" t="str">
        <f>'ATT H-2A'!D218</f>
        <v>Preferred Stock</v>
      </c>
      <c r="E191" s="139"/>
      <c r="F191" s="191" t="str">
        <f>'ATT H-2A'!F218</f>
        <v>(Line 102 / 113)</v>
      </c>
      <c r="G191" s="99"/>
      <c r="H191" s="99"/>
      <c r="I191" s="99"/>
      <c r="J191" s="99"/>
      <c r="K191" s="99"/>
      <c r="L191" s="99"/>
      <c r="M191" s="99"/>
      <c r="N191" s="99"/>
      <c r="O191" s="99"/>
      <c r="P191" s="99"/>
      <c r="Q191" s="282"/>
    </row>
    <row r="192" spans="1:17" ht="15.5" hidden="1">
      <c r="A192" s="201">
        <f>'ATT H-2A'!A219</f>
        <v>121</v>
      </c>
      <c r="B192" s="163"/>
      <c r="C192" s="232" t="str">
        <f>'ATT H-2A'!C219</f>
        <v>Common Cost</v>
      </c>
      <c r="D192" s="155" t="str">
        <f>'ATT H-2A'!D219</f>
        <v>Common Stock</v>
      </c>
      <c r="E192" s="187" t="str">
        <f>'ATT H-2A'!E219</f>
        <v>(Note J)</v>
      </c>
      <c r="F192" s="191" t="str">
        <f>'ATT H-2A'!F219</f>
        <v>Fixed</v>
      </c>
      <c r="G192" s="99"/>
      <c r="H192" s="99"/>
      <c r="I192" s="99"/>
      <c r="J192" s="99"/>
      <c r="K192" s="99"/>
      <c r="L192" s="99"/>
      <c r="M192" s="99"/>
      <c r="N192" s="99"/>
      <c r="O192" s="99"/>
      <c r="P192" s="99"/>
      <c r="Q192" s="282"/>
    </row>
    <row r="193" spans="1:17" ht="15.5" hidden="1">
      <c r="A193" s="192"/>
      <c r="B193" s="163"/>
      <c r="C193" s="184"/>
      <c r="D193" s="148"/>
      <c r="E193" s="200"/>
      <c r="F193" s="198"/>
      <c r="G193" s="99"/>
      <c r="H193" s="99"/>
      <c r="I193" s="99"/>
      <c r="J193" s="99"/>
      <c r="K193" s="99"/>
      <c r="L193" s="99"/>
      <c r="M193" s="99"/>
      <c r="N193" s="99"/>
      <c r="O193" s="99"/>
      <c r="P193" s="99"/>
      <c r="Q193" s="282"/>
    </row>
    <row r="194" spans="1:17" ht="15.5" hidden="1">
      <c r="A194" s="201">
        <f>'ATT H-2A'!A221</f>
        <v>122</v>
      </c>
      <c r="B194" s="163"/>
      <c r="C194" s="166" t="str">
        <f>'ATT H-2A'!C221</f>
        <v>Weighted Cost of Debt</v>
      </c>
      <c r="D194" s="159" t="str">
        <f>'ATT H-2A'!D221</f>
        <v>Total Long Term Debt (WCLTD)</v>
      </c>
      <c r="E194" s="139"/>
      <c r="F194" s="191" t="str">
        <f>'ATT H-2A'!F221</f>
        <v>(Line 116 * 119)</v>
      </c>
      <c r="G194" s="99"/>
      <c r="H194" s="99"/>
      <c r="I194" s="99"/>
      <c r="J194" s="99"/>
      <c r="K194" s="99"/>
      <c r="L194" s="99"/>
      <c r="M194" s="99"/>
      <c r="N194" s="99"/>
      <c r="O194" s="99"/>
      <c r="P194" s="99"/>
      <c r="Q194" s="282"/>
    </row>
    <row r="195" spans="1:17" ht="15.5" hidden="1">
      <c r="A195" s="201">
        <f>'ATT H-2A'!A222</f>
        <v>123</v>
      </c>
      <c r="B195" s="163"/>
      <c r="C195" s="166" t="str">
        <f>'ATT H-2A'!C222</f>
        <v>Weighted Cost of Preferred</v>
      </c>
      <c r="D195" s="155" t="str">
        <f>'ATT H-2A'!D222</f>
        <v>Preferred Stock</v>
      </c>
      <c r="E195" s="139"/>
      <c r="F195" s="191" t="str">
        <f>'ATT H-2A'!F222</f>
        <v>(Line 117 * 120)</v>
      </c>
      <c r="G195" s="99"/>
      <c r="H195" s="99"/>
      <c r="I195" s="99"/>
      <c r="J195" s="99"/>
      <c r="K195" s="99"/>
      <c r="L195" s="99"/>
      <c r="M195" s="99"/>
      <c r="N195" s="99"/>
      <c r="O195" s="99"/>
      <c r="P195" s="99"/>
      <c r="Q195" s="282"/>
    </row>
    <row r="196" spans="1:17" ht="15.5" hidden="1">
      <c r="A196" s="201">
        <f>'ATT H-2A'!A223</f>
        <v>124</v>
      </c>
      <c r="B196" s="163"/>
      <c r="C196" s="166" t="str">
        <f>'ATT H-2A'!C223</f>
        <v>Weighted Cost of Common</v>
      </c>
      <c r="D196" s="155" t="str">
        <f>'ATT H-2A'!D223</f>
        <v>Common Stock</v>
      </c>
      <c r="E196" s="139"/>
      <c r="F196" s="191" t="str">
        <f>'ATT H-2A'!F223</f>
        <v>(Line 118 * 121)</v>
      </c>
      <c r="G196" s="99"/>
      <c r="H196" s="99"/>
      <c r="I196" s="99"/>
      <c r="J196" s="99"/>
      <c r="K196" s="99"/>
      <c r="L196" s="99"/>
      <c r="M196" s="99"/>
      <c r="N196" s="99"/>
      <c r="O196" s="99"/>
      <c r="P196" s="99"/>
      <c r="Q196" s="282"/>
    </row>
    <row r="197" spans="1:17" ht="15.5" hidden="1">
      <c r="A197" s="192">
        <f>'ATT H-2A'!A224</f>
        <v>125</v>
      </c>
      <c r="B197" s="170" t="str">
        <f>'ATT H-2A'!B224</f>
        <v>Total Return ( R )</v>
      </c>
      <c r="C197" s="170"/>
      <c r="D197" s="171"/>
      <c r="E197" s="172"/>
      <c r="F197" s="191" t="str">
        <f>'ATT H-2A'!F224</f>
        <v>(Sum Lines 122 to 124)</v>
      </c>
      <c r="G197" s="99"/>
      <c r="H197" s="99"/>
      <c r="I197" s="99"/>
      <c r="J197" s="99"/>
      <c r="K197" s="99"/>
      <c r="L197" s="99"/>
      <c r="M197" s="99"/>
      <c r="N197" s="99"/>
      <c r="O197" s="99"/>
      <c r="P197" s="99"/>
      <c r="Q197" s="282"/>
    </row>
    <row r="198" spans="1:17" ht="15.5" hidden="1">
      <c r="A198" s="192"/>
      <c r="B198" s="163"/>
      <c r="C198" s="184"/>
      <c r="D198" s="148"/>
      <c r="E198" s="200"/>
      <c r="F198" s="198"/>
      <c r="G198" s="99"/>
      <c r="H198" s="99"/>
      <c r="I198" s="99"/>
      <c r="J198" s="99"/>
      <c r="K198" s="99"/>
      <c r="L198" s="99"/>
      <c r="M198" s="99"/>
      <c r="N198" s="99"/>
      <c r="O198" s="99"/>
      <c r="P198" s="99"/>
      <c r="Q198" s="282"/>
    </row>
    <row r="199" spans="1:17" ht="15.5" hidden="1">
      <c r="A199" s="192">
        <f>'ATT H-2A'!A226</f>
        <v>126</v>
      </c>
      <c r="B199" s="173" t="str">
        <f>'ATT H-2A'!B226</f>
        <v>Investment Return = Rate Base * Rate of Return</v>
      </c>
      <c r="C199" s="174"/>
      <c r="D199" s="171"/>
      <c r="E199" s="247"/>
      <c r="F199" s="236" t="str">
        <f>'ATT H-2A'!F226</f>
        <v>(Line 59 * 125)</v>
      </c>
      <c r="G199" s="99"/>
      <c r="H199" s="99"/>
      <c r="I199" s="99"/>
      <c r="J199" s="99"/>
      <c r="K199" s="99"/>
      <c r="L199" s="99"/>
      <c r="M199" s="99"/>
      <c r="N199" s="99"/>
      <c r="O199" s="99"/>
      <c r="P199" s="99"/>
      <c r="Q199" s="282"/>
    </row>
    <row r="200" spans="1:17" ht="15.5" hidden="1">
      <c r="A200" s="192"/>
      <c r="B200" s="163"/>
      <c r="C200" s="184"/>
      <c r="D200" s="148"/>
      <c r="E200" s="200"/>
      <c r="F200" s="198"/>
      <c r="G200" s="99"/>
      <c r="H200" s="99"/>
      <c r="I200" s="99"/>
      <c r="J200" s="99"/>
      <c r="K200" s="99"/>
      <c r="L200" s="99"/>
      <c r="M200" s="99"/>
      <c r="N200" s="99"/>
      <c r="O200" s="99"/>
      <c r="P200" s="99"/>
      <c r="Q200" s="282"/>
    </row>
    <row r="201" spans="1:17" ht="15.5" hidden="1">
      <c r="A201" s="204" t="str">
        <f>'ATT H-2A'!A228</f>
        <v xml:space="preserve">Composite Income Taxes                                                                                                       </v>
      </c>
      <c r="B201" s="149"/>
      <c r="C201" s="225"/>
      <c r="D201" s="150"/>
      <c r="E201" s="151"/>
      <c r="F201" s="205"/>
      <c r="G201" s="99"/>
      <c r="H201" s="99"/>
      <c r="I201" s="99"/>
      <c r="J201" s="99"/>
      <c r="K201" s="99"/>
      <c r="L201" s="99"/>
      <c r="M201" s="99"/>
      <c r="N201" s="99"/>
      <c r="O201" s="99"/>
      <c r="P201" s="99"/>
      <c r="Q201" s="282"/>
    </row>
    <row r="202" spans="1:17" ht="15.5" hidden="1">
      <c r="A202" s="192"/>
      <c r="B202" s="163"/>
      <c r="C202" s="184"/>
      <c r="D202" s="148"/>
      <c r="E202" s="200"/>
      <c r="F202" s="198"/>
      <c r="G202" s="99"/>
      <c r="H202" s="99"/>
      <c r="I202" s="99"/>
      <c r="J202" s="99"/>
      <c r="K202" s="99"/>
      <c r="L202" s="99"/>
      <c r="M202" s="99"/>
      <c r="N202" s="99"/>
      <c r="O202" s="99"/>
      <c r="P202" s="99"/>
      <c r="Q202" s="282"/>
    </row>
    <row r="203" spans="1:17" ht="15.5">
      <c r="A203" s="192" t="str">
        <f>'ATT H-2A'!A230</f>
        <v xml:space="preserve"> </v>
      </c>
      <c r="B203" s="173" t="str">
        <f>'ATT H-2A'!B230</f>
        <v>Income Tax Rates</v>
      </c>
      <c r="C203" s="84"/>
      <c r="D203" s="84"/>
      <c r="E203" s="156"/>
      <c r="F203" s="191"/>
      <c r="G203" s="99"/>
      <c r="H203" s="99"/>
      <c r="I203" s="99"/>
      <c r="J203" s="99"/>
      <c r="K203" s="99"/>
      <c r="L203" s="99"/>
      <c r="M203" s="99"/>
      <c r="N203" s="99"/>
      <c r="O203" s="99"/>
      <c r="P203" s="99"/>
      <c r="Q203" s="282"/>
    </row>
    <row r="204" spans="1:17" ht="15.5" hidden="1">
      <c r="A204" s="192">
        <f>'ATT H-2A'!A231</f>
        <v>127</v>
      </c>
      <c r="B204" s="163"/>
      <c r="C204" s="84" t="str">
        <f>'ATT H-2A'!C231</f>
        <v>FIT=Federal Income Tax Rate</v>
      </c>
      <c r="D204" s="84"/>
      <c r="E204" s="139"/>
      <c r="F204" s="198">
        <f>'ATT H-2A'!F231</f>
        <v>0</v>
      </c>
      <c r="G204" s="99"/>
      <c r="H204" s="99"/>
      <c r="I204" s="99"/>
      <c r="J204" s="99"/>
      <c r="K204" s="99"/>
      <c r="L204" s="99"/>
      <c r="M204" s="99"/>
      <c r="N204" s="99"/>
      <c r="O204" s="99"/>
      <c r="P204" s="99"/>
      <c r="Q204" s="282"/>
    </row>
    <row r="205" spans="1:17" ht="15.5">
      <c r="A205" s="192">
        <f>'ATT H-2A'!A232</f>
        <v>128</v>
      </c>
      <c r="B205" s="163"/>
      <c r="C205" s="233" t="str">
        <f>'ATT H-2A'!C232</f>
        <v>SIT=State Income Tax Rate or Composite</v>
      </c>
      <c r="D205" s="234"/>
      <c r="E205" s="187" t="str">
        <f>'ATT H-2A'!E232</f>
        <v>(Note I)</v>
      </c>
      <c r="F205" s="198">
        <f>'ATT H-2A'!F232</f>
        <v>0</v>
      </c>
      <c r="G205" s="99"/>
      <c r="H205" s="99"/>
      <c r="I205" s="99"/>
      <c r="J205" s="99"/>
      <c r="K205" s="99"/>
      <c r="L205" s="99"/>
      <c r="M205" s="134" t="s">
        <v>451</v>
      </c>
      <c r="N205" s="99"/>
      <c r="O205" s="99"/>
      <c r="P205" s="99"/>
      <c r="Q205" s="282"/>
    </row>
    <row r="206" spans="1:17" ht="15.5" hidden="1">
      <c r="A206" s="192">
        <f>'ATT H-2A'!A233</f>
        <v>129</v>
      </c>
      <c r="B206" s="163"/>
      <c r="C206" s="233" t="str">
        <f>'ATT H-2A'!C233</f>
        <v xml:space="preserve">p </v>
      </c>
      <c r="D206" s="233" t="str">
        <f>'ATT H-2A'!D233</f>
        <v>(percent of federal income tax deductible for state purposes)</v>
      </c>
      <c r="E206" s="139"/>
      <c r="F206" s="198" t="str">
        <f>'ATT H-2A'!F233</f>
        <v>Per State Tax Code</v>
      </c>
      <c r="G206" s="99"/>
      <c r="H206" s="99"/>
      <c r="I206" s="99"/>
      <c r="J206" s="99"/>
      <c r="K206" s="99"/>
      <c r="L206" s="99"/>
      <c r="M206" s="99"/>
      <c r="N206" s="99"/>
      <c r="O206" s="99"/>
      <c r="P206" s="99"/>
      <c r="Q206" s="282"/>
    </row>
    <row r="207" spans="1:17" ht="15.5" hidden="1">
      <c r="A207" s="192">
        <f>'ATT H-2A'!A234</f>
        <v>130</v>
      </c>
      <c r="B207" s="163"/>
      <c r="C207" s="233" t="str">
        <f>'ATT H-2A'!C234</f>
        <v>T</v>
      </c>
      <c r="D207" s="175" t="str">
        <f>'ATT H-2A'!D234</f>
        <v xml:space="preserve">     T=1 - {[(1 - SIT) * (1 - FIT)] / (1 - SIT * FIT * p)} =</v>
      </c>
      <c r="E207" s="139"/>
      <c r="F207" s="198"/>
      <c r="G207" s="99"/>
      <c r="H207" s="99"/>
      <c r="I207" s="99"/>
      <c r="J207" s="99"/>
      <c r="K207" s="99"/>
      <c r="L207" s="99"/>
      <c r="M207" s="99"/>
      <c r="N207" s="99"/>
      <c r="O207" s="99"/>
      <c r="P207" s="99"/>
      <c r="Q207" s="282"/>
    </row>
    <row r="208" spans="1:17" ht="15.5" hidden="1">
      <c r="A208" s="192" t="str">
        <f>'ATT H-2A'!A235</f>
        <v>131a</v>
      </c>
      <c r="B208" s="163"/>
      <c r="C208" s="233" t="str">
        <f>'ATT H-2A'!C235</f>
        <v>T/ (1-T)</v>
      </c>
      <c r="D208" s="234"/>
      <c r="E208" s="139"/>
      <c r="F208" s="198"/>
      <c r="G208" s="99"/>
      <c r="H208" s="99"/>
      <c r="I208" s="99"/>
      <c r="J208" s="99"/>
      <c r="K208" s="99"/>
      <c r="L208" s="99"/>
      <c r="M208" s="99"/>
      <c r="N208" s="99"/>
      <c r="O208" s="99"/>
      <c r="P208" s="99"/>
      <c r="Q208" s="282"/>
    </row>
    <row r="209" spans="1:17" ht="15.5" hidden="1">
      <c r="A209" s="192"/>
      <c r="B209" s="163"/>
      <c r="C209" s="184"/>
      <c r="D209" s="148"/>
      <c r="E209" s="200"/>
      <c r="F209" s="198"/>
      <c r="G209" s="99"/>
      <c r="H209" s="99"/>
      <c r="I209" s="99"/>
      <c r="J209" s="99"/>
      <c r="K209" s="99"/>
      <c r="L209" s="99"/>
      <c r="M209" s="99"/>
      <c r="N209" s="99"/>
      <c r="O209" s="99"/>
      <c r="P209" s="99"/>
      <c r="Q209" s="282"/>
    </row>
    <row r="210" spans="1:17" ht="15.5">
      <c r="A210" s="192"/>
      <c r="B210" s="173" t="e">
        <f>'ATT H-2A'!#REF!</f>
        <v>#REF!</v>
      </c>
      <c r="C210" s="155"/>
      <c r="D210" s="84"/>
      <c r="E210" s="116"/>
      <c r="F210" s="191"/>
      <c r="G210" s="99"/>
      <c r="H210" s="99"/>
      <c r="I210" s="99"/>
      <c r="J210" s="99"/>
      <c r="K210" s="99"/>
      <c r="L210" s="99"/>
      <c r="M210" s="99"/>
      <c r="N210" s="99"/>
      <c r="O210" s="99"/>
      <c r="P210" s="99"/>
      <c r="Q210" s="282"/>
    </row>
    <row r="211" spans="1:17" ht="15.5">
      <c r="A211" s="192" t="e">
        <f>'ATT H-2A'!#REF!</f>
        <v>#REF!</v>
      </c>
      <c r="B211" s="163"/>
      <c r="C211" s="155" t="e">
        <f>'ATT H-2A'!#REF!</f>
        <v>#REF!</v>
      </c>
      <c r="D211" s="84"/>
      <c r="E211" s="230" t="e">
        <f>'ATT H-2A'!#REF!</f>
        <v>#REF!</v>
      </c>
      <c r="F211" s="215" t="e">
        <f>'ATT H-2A'!#REF!</f>
        <v>#REF!</v>
      </c>
      <c r="G211" s="99"/>
      <c r="H211" s="99"/>
      <c r="I211" s="99"/>
      <c r="J211" s="99"/>
      <c r="K211" s="99"/>
      <c r="L211" s="99"/>
      <c r="M211" s="134" t="s">
        <v>451</v>
      </c>
      <c r="N211" s="99"/>
      <c r="O211" s="99"/>
      <c r="P211" s="99"/>
      <c r="Q211" s="282"/>
    </row>
    <row r="212" spans="1:17" ht="15.5" hidden="1">
      <c r="A212" s="192" t="e">
        <f>'ATT H-2A'!#REF!</f>
        <v>#REF!</v>
      </c>
      <c r="B212" s="163"/>
      <c r="C212" s="155" t="e">
        <f>'ATT H-2A'!#REF!</f>
        <v>#REF!</v>
      </c>
      <c r="D212" s="84"/>
      <c r="E212" s="163"/>
      <c r="F212" s="191" t="e">
        <f>'ATT H-2A'!#REF!</f>
        <v>#REF!</v>
      </c>
      <c r="G212" s="99"/>
      <c r="H212" s="99"/>
      <c r="I212" s="99"/>
      <c r="J212" s="99"/>
      <c r="K212" s="99"/>
      <c r="L212" s="99"/>
      <c r="M212" s="99"/>
      <c r="N212" s="99"/>
      <c r="O212" s="99"/>
      <c r="P212" s="99"/>
      <c r="Q212" s="282"/>
    </row>
    <row r="213" spans="1:17" ht="15.5" hidden="1">
      <c r="A213" s="192" t="e">
        <f>'ATT H-2A'!#REF!</f>
        <v>#REF!</v>
      </c>
      <c r="B213" s="163"/>
      <c r="C213" s="165" t="e">
        <f>'ATT H-2A'!#REF!</f>
        <v>#REF!</v>
      </c>
      <c r="D213" s="162"/>
      <c r="E213" s="163"/>
      <c r="F213" s="191" t="e">
        <f>'ATT H-2A'!#REF!</f>
        <v>#REF!</v>
      </c>
      <c r="G213" s="99"/>
      <c r="H213" s="99"/>
      <c r="I213" s="99"/>
      <c r="J213" s="99"/>
      <c r="K213" s="99"/>
      <c r="L213" s="99"/>
      <c r="M213" s="99"/>
      <c r="N213" s="99"/>
      <c r="O213" s="99"/>
      <c r="P213" s="99"/>
      <c r="Q213" s="282"/>
    </row>
    <row r="214" spans="1:17" ht="15.5" hidden="1">
      <c r="A214" s="192" t="e">
        <f>'ATT H-2A'!#REF!</f>
        <v>#REF!</v>
      </c>
      <c r="B214" s="163"/>
      <c r="C214" s="178" t="e">
        <f>'ATT H-2A'!#REF!</f>
        <v>#REF!</v>
      </c>
      <c r="D214" s="148"/>
      <c r="E214" s="230" t="e">
        <f>'ATT H-2A'!#REF!</f>
        <v>#REF!</v>
      </c>
      <c r="F214" s="191" t="e">
        <f>'ATT H-2A'!#REF!</f>
        <v>#REF!</v>
      </c>
      <c r="G214" s="99"/>
      <c r="H214" s="99"/>
      <c r="I214" s="99"/>
      <c r="J214" s="99"/>
      <c r="K214" s="99"/>
      <c r="L214" s="99"/>
      <c r="M214" s="99"/>
      <c r="N214" s="99"/>
      <c r="O214" s="99"/>
      <c r="P214" s="99"/>
      <c r="Q214" s="282"/>
    </row>
    <row r="215" spans="1:17" ht="15.5" hidden="1">
      <c r="A215" s="192"/>
      <c r="B215" s="163"/>
      <c r="C215" s="184"/>
      <c r="D215" s="148"/>
      <c r="E215" s="200"/>
      <c r="F215" s="198"/>
      <c r="G215" s="99"/>
      <c r="H215" s="99"/>
      <c r="I215" s="99"/>
      <c r="J215" s="99"/>
      <c r="K215" s="99"/>
      <c r="L215" s="99"/>
      <c r="M215" s="99"/>
      <c r="N215" s="99"/>
      <c r="O215" s="99"/>
      <c r="P215" s="99"/>
      <c r="Q215" s="282"/>
    </row>
    <row r="216" spans="1:17" ht="15.5" hidden="1">
      <c r="A216" s="192"/>
      <c r="B216" s="163"/>
      <c r="C216" s="184"/>
      <c r="D216" s="148"/>
      <c r="E216" s="200"/>
      <c r="F216" s="198"/>
      <c r="G216" s="99"/>
      <c r="H216" s="99"/>
      <c r="I216" s="99"/>
      <c r="J216" s="99"/>
      <c r="K216" s="99"/>
      <c r="L216" s="99"/>
      <c r="M216" s="99"/>
      <c r="N216" s="99"/>
      <c r="O216" s="99"/>
      <c r="P216" s="99"/>
      <c r="Q216" s="282"/>
    </row>
    <row r="217" spans="1:17" ht="15.5" hidden="1">
      <c r="A217" s="192"/>
      <c r="B217" s="163"/>
      <c r="C217" s="184"/>
      <c r="D217" s="148"/>
      <c r="E217" s="200"/>
      <c r="F217" s="198"/>
      <c r="G217" s="99"/>
      <c r="H217" s="99"/>
      <c r="I217" s="99"/>
      <c r="J217" s="99"/>
      <c r="K217" s="99"/>
      <c r="L217" s="99"/>
      <c r="M217" s="99"/>
      <c r="N217" s="99"/>
      <c r="O217" s="99"/>
      <c r="P217" s="99"/>
      <c r="Q217" s="282"/>
    </row>
    <row r="218" spans="1:17" ht="15.5" hidden="1">
      <c r="A218" s="192" t="str">
        <f>'ATT H-2A'!A253</f>
        <v>136h</v>
      </c>
      <c r="B218" s="223" t="str">
        <f>'ATT H-2A'!B253</f>
        <v xml:space="preserve">Income Tax Component = </v>
      </c>
      <c r="C218" s="174"/>
      <c r="D218" s="84" t="str">
        <f>'ATT H-2A'!D253</f>
        <v xml:space="preserve">     CIT=(T/1-T) * Investment Return * (1-(WCLTD/R)) =</v>
      </c>
      <c r="E218" s="156"/>
      <c r="F218" s="191" t="str">
        <f>'ATT H-2A'!F253</f>
        <v>[Line 131a * 126 * (1-(122 / 125))]</v>
      </c>
      <c r="G218" s="99"/>
      <c r="H218" s="99"/>
      <c r="I218" s="99"/>
      <c r="J218" s="99"/>
      <c r="K218" s="99"/>
      <c r="L218" s="99"/>
      <c r="M218" s="99"/>
      <c r="N218" s="99"/>
      <c r="O218" s="99"/>
      <c r="P218" s="99"/>
      <c r="Q218" s="282"/>
    </row>
    <row r="219" spans="1:17" ht="15.5" hidden="1">
      <c r="A219" s="192"/>
      <c r="B219" s="163"/>
      <c r="C219" s="184"/>
      <c r="D219" s="148"/>
      <c r="E219" s="200"/>
      <c r="F219" s="198"/>
      <c r="G219" s="99"/>
      <c r="H219" s="99"/>
      <c r="I219" s="99"/>
      <c r="J219" s="99"/>
      <c r="K219" s="99"/>
      <c r="L219" s="99"/>
      <c r="M219" s="99"/>
      <c r="N219" s="99"/>
      <c r="O219" s="99"/>
      <c r="P219" s="99"/>
      <c r="Q219" s="282"/>
    </row>
    <row r="220" spans="1:17" ht="15.5" hidden="1">
      <c r="A220" s="192">
        <f>'ATT H-2A'!A255</f>
        <v>137</v>
      </c>
      <c r="B220" s="173" t="str">
        <f>'ATT H-2A'!B255</f>
        <v>Total Income Taxes</v>
      </c>
      <c r="C220" s="173"/>
      <c r="D220" s="171"/>
      <c r="E220" s="172"/>
      <c r="F220" s="236" t="str">
        <f>'ATT H-2A'!F255</f>
        <v>(Line 135 + 136g + 136h)</v>
      </c>
      <c r="G220" s="99"/>
      <c r="H220" s="99"/>
      <c r="I220" s="99"/>
      <c r="J220" s="99"/>
      <c r="K220" s="99"/>
      <c r="L220" s="99"/>
      <c r="M220" s="99"/>
      <c r="N220" s="99"/>
      <c r="O220" s="99"/>
      <c r="P220" s="99"/>
      <c r="Q220" s="282"/>
    </row>
    <row r="221" spans="1:17" ht="15.5" hidden="1">
      <c r="A221" s="192"/>
      <c r="B221" s="163"/>
      <c r="C221" s="184"/>
      <c r="D221" s="148"/>
      <c r="E221" s="200"/>
      <c r="F221" s="198"/>
      <c r="G221" s="99"/>
      <c r="H221" s="99"/>
      <c r="I221" s="99"/>
      <c r="J221" s="99"/>
      <c r="K221" s="99"/>
      <c r="L221" s="99"/>
      <c r="M221" s="99"/>
      <c r="N221" s="99"/>
      <c r="O221" s="99"/>
      <c r="P221" s="99"/>
      <c r="Q221" s="282"/>
    </row>
    <row r="222" spans="1:17" ht="15.5" hidden="1">
      <c r="A222" s="204" t="str">
        <f>'ATT H-2A'!A257</f>
        <v>REVENUE REQUIREMENT</v>
      </c>
      <c r="B222" s="149"/>
      <c r="C222" s="225"/>
      <c r="D222" s="150"/>
      <c r="E222" s="151"/>
      <c r="F222" s="205"/>
      <c r="G222" s="99"/>
      <c r="H222" s="99"/>
      <c r="I222" s="99"/>
      <c r="J222" s="99"/>
      <c r="K222" s="99"/>
      <c r="L222" s="99"/>
      <c r="M222" s="99"/>
      <c r="N222" s="99"/>
      <c r="O222" s="99"/>
      <c r="P222" s="99"/>
      <c r="Q222" s="282"/>
    </row>
    <row r="223" spans="1:17" ht="15.5" hidden="1">
      <c r="A223" s="192"/>
      <c r="B223" s="163"/>
      <c r="C223" s="184"/>
      <c r="D223" s="148"/>
      <c r="E223" s="200"/>
      <c r="F223" s="198"/>
      <c r="G223" s="99"/>
      <c r="H223" s="99"/>
      <c r="I223" s="99"/>
      <c r="J223" s="99"/>
      <c r="K223" s="99"/>
      <c r="L223" s="99"/>
      <c r="M223" s="99"/>
      <c r="N223" s="99"/>
      <c r="O223" s="99"/>
      <c r="P223" s="99"/>
      <c r="Q223" s="282"/>
    </row>
    <row r="224" spans="1:17" ht="15.5" hidden="1">
      <c r="A224" s="194"/>
      <c r="B224" s="223" t="str">
        <f>'ATT H-2A'!B259</f>
        <v>Summary</v>
      </c>
      <c r="C224" s="174"/>
      <c r="D224" s="174"/>
      <c r="E224" s="139"/>
      <c r="F224" s="195"/>
      <c r="G224" s="99"/>
      <c r="H224" s="99"/>
      <c r="I224" s="99"/>
      <c r="J224" s="99"/>
      <c r="K224" s="99"/>
      <c r="L224" s="99"/>
      <c r="M224" s="99"/>
      <c r="N224" s="99"/>
      <c r="O224" s="99"/>
      <c r="P224" s="99"/>
      <c r="Q224" s="282"/>
    </row>
    <row r="225" spans="1:17" ht="15.5" hidden="1">
      <c r="A225" s="194">
        <f>'ATT H-2A'!A260</f>
        <v>138</v>
      </c>
      <c r="B225" s="174"/>
      <c r="C225" s="174" t="str">
        <f>'ATT H-2A'!C260</f>
        <v>Net Property, Plant &amp; Equipment</v>
      </c>
      <c r="D225" s="174"/>
      <c r="E225" s="139"/>
      <c r="F225" s="191" t="str">
        <f>'ATT H-2A'!F260</f>
        <v>(Line 39)</v>
      </c>
      <c r="G225" s="99"/>
      <c r="H225" s="99"/>
      <c r="I225" s="99"/>
      <c r="J225" s="99"/>
      <c r="K225" s="99"/>
      <c r="L225" s="99"/>
      <c r="M225" s="99"/>
      <c r="N225" s="99"/>
      <c r="O225" s="99"/>
      <c r="P225" s="99"/>
      <c r="Q225" s="282"/>
    </row>
    <row r="226" spans="1:17" ht="15.5" hidden="1">
      <c r="A226" s="192">
        <f>'ATT H-2A'!A261</f>
        <v>139</v>
      </c>
      <c r="B226" s="174"/>
      <c r="C226" s="174" t="str">
        <f>'ATT H-2A'!C261</f>
        <v>Adjustment to Rate Base</v>
      </c>
      <c r="D226" s="174"/>
      <c r="E226" s="139"/>
      <c r="F226" s="191" t="str">
        <f>'ATT H-2A'!F261</f>
        <v>(Line 58)</v>
      </c>
      <c r="G226" s="99"/>
      <c r="H226" s="99"/>
      <c r="I226" s="99"/>
      <c r="J226" s="99"/>
      <c r="K226" s="99"/>
      <c r="L226" s="99"/>
      <c r="M226" s="99"/>
      <c r="N226" s="99"/>
      <c r="O226" s="99"/>
      <c r="P226" s="99"/>
      <c r="Q226" s="282"/>
    </row>
    <row r="227" spans="1:17" ht="15.5" hidden="1">
      <c r="A227" s="192">
        <f>'ATT H-2A'!A262</f>
        <v>140</v>
      </c>
      <c r="B227" s="163"/>
      <c r="C227" s="223" t="str">
        <f>'ATT H-2A'!C262</f>
        <v>Rate Base</v>
      </c>
      <c r="D227" s="248"/>
      <c r="E227" s="247"/>
      <c r="F227" s="191" t="str">
        <f>'ATT H-2A'!F262</f>
        <v>(Line 59)</v>
      </c>
      <c r="G227" s="99"/>
      <c r="H227" s="99"/>
      <c r="I227" s="99"/>
      <c r="J227" s="99"/>
      <c r="K227" s="99"/>
      <c r="L227" s="99"/>
      <c r="M227" s="99"/>
      <c r="N227" s="99"/>
      <c r="O227" s="99"/>
      <c r="P227" s="99"/>
      <c r="Q227" s="282"/>
    </row>
    <row r="228" spans="1:17" ht="15.5" hidden="1">
      <c r="A228" s="192"/>
      <c r="B228" s="163"/>
      <c r="C228" s="184"/>
      <c r="D228" s="148"/>
      <c r="E228" s="200"/>
      <c r="F228" s="198"/>
      <c r="G228" s="99"/>
      <c r="H228" s="99"/>
      <c r="I228" s="99"/>
      <c r="J228" s="99"/>
      <c r="K228" s="99"/>
      <c r="L228" s="99"/>
      <c r="M228" s="99"/>
      <c r="N228" s="99"/>
      <c r="O228" s="99"/>
      <c r="P228" s="99"/>
      <c r="Q228" s="282"/>
    </row>
    <row r="229" spans="1:17" ht="15.5" hidden="1">
      <c r="A229" s="192">
        <f>'ATT H-2A'!A264</f>
        <v>141</v>
      </c>
      <c r="B229" s="84"/>
      <c r="C229" s="159" t="str">
        <f>'ATT H-2A'!C264</f>
        <v>O&amp;M</v>
      </c>
      <c r="D229" s="84"/>
      <c r="E229" s="139"/>
      <c r="F229" s="191" t="str">
        <f>'ATT H-2A'!F264</f>
        <v>(Line 84)</v>
      </c>
      <c r="G229" s="99"/>
      <c r="H229" s="99"/>
      <c r="I229" s="99"/>
      <c r="J229" s="99"/>
      <c r="K229" s="99"/>
      <c r="L229" s="99"/>
      <c r="M229" s="99"/>
      <c r="N229" s="99"/>
      <c r="O229" s="99"/>
      <c r="P229" s="99"/>
      <c r="Q229" s="282"/>
    </row>
    <row r="230" spans="1:17" ht="15.5" hidden="1">
      <c r="A230" s="192">
        <f>'ATT H-2A'!A265</f>
        <v>142</v>
      </c>
      <c r="B230" s="84"/>
      <c r="C230" s="166" t="str">
        <f>'ATT H-2A'!C265</f>
        <v>Depreciation &amp; Amortization</v>
      </c>
      <c r="D230" s="84"/>
      <c r="E230" s="139"/>
      <c r="F230" s="191" t="str">
        <f>'ATT H-2A'!F265</f>
        <v>(Line 96)</v>
      </c>
      <c r="G230" s="99"/>
      <c r="H230" s="99"/>
      <c r="I230" s="99"/>
      <c r="J230" s="99"/>
      <c r="K230" s="99"/>
      <c r="L230" s="99"/>
      <c r="M230" s="99"/>
      <c r="N230" s="99"/>
      <c r="O230" s="99"/>
      <c r="P230" s="99"/>
      <c r="Q230" s="282"/>
    </row>
    <row r="231" spans="1:17" ht="15.5" hidden="1">
      <c r="A231" s="192">
        <f>'ATT H-2A'!A266</f>
        <v>143</v>
      </c>
      <c r="B231" s="163"/>
      <c r="C231" s="159" t="str">
        <f>'ATT H-2A'!C266</f>
        <v>Taxes Other than Income</v>
      </c>
      <c r="D231" s="148"/>
      <c r="E231" s="156"/>
      <c r="F231" s="191" t="str">
        <f>'ATT H-2A'!F266</f>
        <v>(Line 98)</v>
      </c>
      <c r="G231" s="99"/>
      <c r="H231" s="99"/>
      <c r="I231" s="99"/>
      <c r="J231" s="99"/>
      <c r="K231" s="99"/>
      <c r="L231" s="99"/>
      <c r="M231" s="99"/>
      <c r="N231" s="99"/>
      <c r="O231" s="99"/>
      <c r="P231" s="99"/>
      <c r="Q231" s="282"/>
    </row>
    <row r="232" spans="1:17" ht="15.5" hidden="1">
      <c r="A232" s="192">
        <f>'ATT H-2A'!A267</f>
        <v>144</v>
      </c>
      <c r="B232" s="163"/>
      <c r="C232" s="175" t="str">
        <f>'ATT H-2A'!C267</f>
        <v>Investment Return</v>
      </c>
      <c r="D232" s="148"/>
      <c r="E232" s="156"/>
      <c r="F232" s="191" t="str">
        <f>'ATT H-2A'!F267</f>
        <v>(Line 126)</v>
      </c>
      <c r="G232" s="99"/>
      <c r="H232" s="99"/>
      <c r="I232" s="99"/>
      <c r="J232" s="99"/>
      <c r="K232" s="99"/>
      <c r="L232" s="99"/>
      <c r="M232" s="99"/>
      <c r="N232" s="99"/>
      <c r="O232" s="99"/>
      <c r="P232" s="99"/>
      <c r="Q232" s="282"/>
    </row>
    <row r="233" spans="1:17" ht="15.5" hidden="1">
      <c r="A233" s="192">
        <f>'ATT H-2A'!A268</f>
        <v>145</v>
      </c>
      <c r="B233" s="163"/>
      <c r="C233" s="175" t="str">
        <f>'ATT H-2A'!C268</f>
        <v>Income Taxes</v>
      </c>
      <c r="D233" s="148"/>
      <c r="E233" s="156"/>
      <c r="F233" s="191" t="str">
        <f>'ATT H-2A'!F268</f>
        <v>(Line 137)</v>
      </c>
      <c r="G233" s="99"/>
      <c r="H233" s="99"/>
      <c r="I233" s="99"/>
      <c r="J233" s="99"/>
      <c r="K233" s="99"/>
      <c r="L233" s="99"/>
      <c r="M233" s="99"/>
      <c r="N233" s="99"/>
      <c r="O233" s="99"/>
      <c r="P233" s="99"/>
      <c r="Q233" s="282"/>
    </row>
    <row r="234" spans="1:17" ht="15.5" hidden="1">
      <c r="A234" s="192"/>
      <c r="B234" s="163"/>
      <c r="C234" s="175"/>
      <c r="D234" s="148"/>
      <c r="E234" s="156"/>
      <c r="F234" s="198"/>
      <c r="G234" s="99"/>
      <c r="H234" s="99"/>
      <c r="I234" s="99"/>
      <c r="J234" s="99"/>
      <c r="K234" s="99"/>
      <c r="L234" s="99"/>
      <c r="M234" s="99"/>
      <c r="N234" s="99"/>
      <c r="O234" s="99"/>
      <c r="P234" s="99"/>
      <c r="Q234" s="282"/>
    </row>
    <row r="235" spans="1:17" ht="18.5" hidden="1" thickBot="1">
      <c r="A235" s="176">
        <f>'ATT H-2A'!A270</f>
        <v>146</v>
      </c>
      <c r="B235" s="249"/>
      <c r="C235" s="179" t="str">
        <f>'ATT H-2A'!C270</f>
        <v>Gross Revenue Requirement</v>
      </c>
      <c r="D235" s="180"/>
      <c r="E235" s="181"/>
      <c r="F235" s="253" t="str">
        <f>'ATT H-2A'!F270</f>
        <v>(Sum Lines 141 to 145)</v>
      </c>
      <c r="G235" s="99"/>
      <c r="H235" s="99"/>
      <c r="I235" s="99"/>
      <c r="J235" s="99"/>
      <c r="K235" s="99"/>
      <c r="L235" s="99"/>
      <c r="M235" s="99"/>
      <c r="N235" s="99"/>
      <c r="O235" s="99"/>
      <c r="P235" s="99"/>
      <c r="Q235" s="282"/>
    </row>
    <row r="236" spans="1:17" ht="15.5" hidden="1">
      <c r="A236" s="192"/>
      <c r="B236" s="163"/>
      <c r="C236" s="184"/>
      <c r="D236" s="148"/>
      <c r="E236" s="200"/>
      <c r="F236" s="198"/>
      <c r="G236" s="99"/>
      <c r="H236" s="99"/>
      <c r="I236" s="99"/>
      <c r="J236" s="99"/>
      <c r="K236" s="99"/>
      <c r="L236" s="99"/>
      <c r="M236" s="99"/>
      <c r="N236" s="99"/>
      <c r="O236" s="99"/>
      <c r="P236" s="99"/>
      <c r="Q236" s="282"/>
    </row>
    <row r="237" spans="1:17" ht="18">
      <c r="A237" s="235"/>
      <c r="B237" s="135" t="str">
        <f>'ATT H-2A'!B272</f>
        <v>Adjustment to Remove Revenue Requirements Associated with Excluded Transmission Facilities</v>
      </c>
      <c r="C237" s="179"/>
      <c r="D237" s="180"/>
      <c r="E237" s="181"/>
      <c r="F237" s="236"/>
      <c r="G237" s="99"/>
      <c r="H237" s="99"/>
      <c r="I237" s="99"/>
      <c r="J237" s="99"/>
      <c r="K237" s="99"/>
      <c r="L237" s="99"/>
      <c r="M237" s="99"/>
      <c r="N237" s="99"/>
      <c r="O237" s="99"/>
      <c r="P237" s="99"/>
      <c r="Q237" s="282"/>
    </row>
    <row r="238" spans="1:17" ht="18" hidden="1">
      <c r="A238" s="201">
        <f>'ATT H-2A'!A273</f>
        <v>147</v>
      </c>
      <c r="B238" s="182"/>
      <c r="C238" s="159" t="str">
        <f>'ATT H-2A'!C273</f>
        <v>Transmission Plant In Service</v>
      </c>
      <c r="D238" s="180"/>
      <c r="E238" s="181"/>
      <c r="F238" s="191" t="str">
        <f>'ATT H-2A'!F273</f>
        <v>(Line 19)</v>
      </c>
      <c r="G238" s="99"/>
      <c r="H238" s="99"/>
      <c r="I238" s="99"/>
      <c r="J238" s="99"/>
      <c r="K238" s="99"/>
      <c r="L238" s="99"/>
      <c r="M238" s="99"/>
      <c r="N238" s="99"/>
      <c r="O238" s="99"/>
      <c r="P238" s="99"/>
      <c r="Q238" s="282"/>
    </row>
    <row r="239" spans="1:17" ht="18">
      <c r="A239" s="201">
        <f>'ATT H-2A'!A274</f>
        <v>148</v>
      </c>
      <c r="B239" s="182"/>
      <c r="C239" s="159" t="str">
        <f>'ATT H-2A'!C274</f>
        <v>Excluded Transmission Facilities</v>
      </c>
      <c r="D239" s="180"/>
      <c r="E239" s="161" t="str">
        <f>'ATT H-2A'!E274</f>
        <v>(Note M)</v>
      </c>
      <c r="F239" s="202" t="str">
        <f>'ATT H-2A'!F274</f>
        <v>Attachment 5</v>
      </c>
      <c r="G239" s="99"/>
      <c r="H239" s="99"/>
      <c r="I239" s="99"/>
      <c r="J239" s="99"/>
      <c r="K239" s="99"/>
      <c r="L239" s="99"/>
      <c r="M239" s="99"/>
      <c r="N239" s="99"/>
      <c r="O239" s="99"/>
      <c r="P239" s="134" t="s">
        <v>451</v>
      </c>
      <c r="Q239" s="282"/>
    </row>
    <row r="240" spans="1:17" ht="18" hidden="1">
      <c r="A240" s="201">
        <f>'ATT H-2A'!A275</f>
        <v>149</v>
      </c>
      <c r="B240" s="182"/>
      <c r="C240" s="159" t="str">
        <f>'ATT H-2A'!C275</f>
        <v>Included Transmission Facilities</v>
      </c>
      <c r="D240" s="180"/>
      <c r="E240" s="183"/>
      <c r="F240" s="202" t="str">
        <f>'ATT H-2A'!F275</f>
        <v>(Line 147 - 148)</v>
      </c>
      <c r="G240" s="99"/>
      <c r="H240" s="99"/>
      <c r="I240" s="99"/>
      <c r="J240" s="99"/>
      <c r="K240" s="99"/>
      <c r="L240" s="99"/>
      <c r="M240" s="99"/>
      <c r="N240" s="99"/>
      <c r="O240" s="99"/>
      <c r="P240" s="99"/>
      <c r="Q240" s="282"/>
    </row>
    <row r="241" spans="1:17" ht="18" hidden="1">
      <c r="A241" s="201">
        <f>'ATT H-2A'!A276</f>
        <v>150</v>
      </c>
      <c r="B241" s="182"/>
      <c r="C241" s="159" t="str">
        <f>'ATT H-2A'!C276</f>
        <v>Inclusion Ratio</v>
      </c>
      <c r="D241" s="180"/>
      <c r="E241" s="181"/>
      <c r="F241" s="202" t="str">
        <f>'ATT H-2A'!F276</f>
        <v>(Line 149 / 147)</v>
      </c>
      <c r="G241" s="99"/>
      <c r="H241" s="99"/>
      <c r="I241" s="99"/>
      <c r="J241" s="99"/>
      <c r="K241" s="99"/>
      <c r="L241" s="99"/>
      <c r="M241" s="99"/>
      <c r="N241" s="99"/>
      <c r="O241" s="99"/>
      <c r="P241" s="99"/>
      <c r="Q241" s="282"/>
    </row>
    <row r="242" spans="1:17" ht="18" hidden="1">
      <c r="A242" s="201">
        <f>'ATT H-2A'!A277</f>
        <v>151</v>
      </c>
      <c r="B242" s="182"/>
      <c r="C242" s="159" t="str">
        <f>'ATT H-2A'!C277</f>
        <v>Gross Revenue Requirement</v>
      </c>
      <c r="D242" s="180"/>
      <c r="E242" s="181"/>
      <c r="F242" s="202" t="str">
        <f>'ATT H-2A'!F277</f>
        <v>(Line 146)</v>
      </c>
      <c r="G242" s="99"/>
      <c r="H242" s="99"/>
      <c r="I242" s="99"/>
      <c r="J242" s="99"/>
      <c r="K242" s="99"/>
      <c r="L242" s="99"/>
      <c r="M242" s="99"/>
      <c r="N242" s="99"/>
      <c r="O242" s="99"/>
      <c r="P242" s="99"/>
      <c r="Q242" s="282"/>
    </row>
    <row r="243" spans="1:17" ht="18" hidden="1">
      <c r="A243" s="201">
        <f>'ATT H-2A'!A278</f>
        <v>152</v>
      </c>
      <c r="B243" s="182"/>
      <c r="C243" s="184" t="str">
        <f>'ATT H-2A'!C278</f>
        <v>Adjusted Gross Revenue Requirement</v>
      </c>
      <c r="D243" s="180"/>
      <c r="E243" s="181"/>
      <c r="F243" s="202" t="str">
        <f>'ATT H-2A'!F278</f>
        <v>(Line 150 * 151)</v>
      </c>
      <c r="G243" s="99"/>
      <c r="H243" s="99"/>
      <c r="I243" s="99"/>
      <c r="J243" s="99"/>
      <c r="K243" s="99"/>
      <c r="L243" s="99"/>
      <c r="M243" s="99"/>
      <c r="N243" s="99"/>
      <c r="O243" s="99"/>
      <c r="P243" s="99"/>
      <c r="Q243" s="282"/>
    </row>
    <row r="244" spans="1:17" ht="15.5" hidden="1">
      <c r="A244" s="192"/>
      <c r="B244" s="163"/>
      <c r="C244" s="184"/>
      <c r="D244" s="148"/>
      <c r="E244" s="200"/>
      <c r="F244" s="198"/>
      <c r="G244" s="99"/>
      <c r="H244" s="99"/>
      <c r="I244" s="99"/>
      <c r="J244" s="99"/>
      <c r="K244" s="99"/>
      <c r="L244" s="99"/>
      <c r="M244" s="99"/>
      <c r="N244" s="99"/>
      <c r="O244" s="99"/>
      <c r="P244" s="99"/>
      <c r="Q244" s="282"/>
    </row>
    <row r="245" spans="1:17" ht="15.5">
      <c r="A245" s="237"/>
      <c r="B245" s="178" t="str">
        <f>'ATT H-2A'!B280</f>
        <v>Revenue Credits &amp; Interest on Network Credits</v>
      </c>
      <c r="C245" s="159"/>
      <c r="D245" s="148"/>
      <c r="E245" s="156"/>
      <c r="F245" s="198"/>
      <c r="G245" s="99"/>
      <c r="H245" s="99"/>
      <c r="I245" s="99"/>
      <c r="J245" s="99"/>
      <c r="K245" s="99"/>
      <c r="L245" s="99"/>
      <c r="M245" s="99"/>
      <c r="N245" s="99"/>
      <c r="O245" s="99"/>
      <c r="P245" s="99"/>
      <c r="Q245" s="282"/>
    </row>
    <row r="246" spans="1:17" ht="15.5" hidden="1">
      <c r="A246" s="201">
        <f>'ATT H-2A'!A281</f>
        <v>153</v>
      </c>
      <c r="B246" s="174"/>
      <c r="C246" s="178" t="str">
        <f>'ATT H-2A'!C281</f>
        <v>Revenue Credits</v>
      </c>
      <c r="D246" s="148"/>
      <c r="E246" s="156"/>
      <c r="F246" s="198" t="str">
        <f>'ATT H-2A'!F281</f>
        <v>Attachment 3</v>
      </c>
      <c r="G246" s="99"/>
      <c r="H246" s="99"/>
      <c r="I246" s="99"/>
      <c r="J246" s="99"/>
      <c r="K246" s="99"/>
      <c r="L246" s="99"/>
      <c r="M246" s="99"/>
      <c r="N246" s="99"/>
      <c r="O246" s="99"/>
      <c r="P246" s="99"/>
      <c r="Q246" s="282"/>
    </row>
    <row r="247" spans="1:17" ht="15.5">
      <c r="A247" s="201">
        <f>'ATT H-2A'!A282</f>
        <v>154</v>
      </c>
      <c r="B247" s="174"/>
      <c r="C247" s="166" t="str">
        <f>'ATT H-2A'!C282</f>
        <v>Interest on Network Credits</v>
      </c>
      <c r="D247" s="148"/>
      <c r="E247" s="224" t="str">
        <f>'ATT H-2A'!E282</f>
        <v>(Note N)</v>
      </c>
      <c r="F247" s="198" t="str">
        <f>'ATT H-2A'!F282</f>
        <v>PJM Data</v>
      </c>
      <c r="G247" s="99"/>
      <c r="H247" s="99"/>
      <c r="I247" s="99"/>
      <c r="J247" s="99"/>
      <c r="K247" s="99"/>
      <c r="L247" s="99"/>
      <c r="M247" s="99"/>
      <c r="N247" s="99"/>
      <c r="O247" s="99"/>
      <c r="P247" s="99"/>
      <c r="Q247" s="313" t="s">
        <v>451</v>
      </c>
    </row>
    <row r="248" spans="1:17" ht="15.5" hidden="1">
      <c r="A248" s="192"/>
      <c r="B248" s="163"/>
      <c r="C248" s="184"/>
      <c r="D248" s="148"/>
      <c r="E248" s="200"/>
      <c r="F248" s="198"/>
      <c r="G248" s="99"/>
      <c r="H248" s="99"/>
      <c r="I248" s="99"/>
      <c r="J248" s="99"/>
      <c r="K248" s="99"/>
      <c r="L248" s="99"/>
      <c r="M248" s="99"/>
      <c r="N248" s="99"/>
      <c r="O248" s="99"/>
      <c r="P248" s="99"/>
      <c r="Q248" s="282"/>
    </row>
    <row r="249" spans="1:17" ht="18.5" hidden="1" thickBot="1">
      <c r="A249" s="176">
        <f>'ATT H-2A'!A284</f>
        <v>155</v>
      </c>
      <c r="B249" s="223"/>
      <c r="C249" s="250" t="str">
        <f>'ATT H-2A'!C284</f>
        <v>Net Revenue Requirement</v>
      </c>
      <c r="D249" s="251"/>
      <c r="E249" s="252"/>
      <c r="F249" s="253" t="str">
        <f>'ATT H-2A'!F284</f>
        <v>(Line 152 - 153 + 154)</v>
      </c>
      <c r="G249" s="99"/>
      <c r="H249" s="99"/>
      <c r="I249" s="99"/>
      <c r="J249" s="99"/>
      <c r="K249" s="99"/>
      <c r="L249" s="99"/>
      <c r="M249" s="99"/>
      <c r="N249" s="99"/>
      <c r="O249" s="99"/>
      <c r="P249" s="99"/>
      <c r="Q249" s="282"/>
    </row>
    <row r="250" spans="1:17" ht="15.5" hidden="1">
      <c r="A250" s="192"/>
      <c r="B250" s="163"/>
      <c r="C250" s="184"/>
      <c r="D250" s="148"/>
      <c r="E250" s="200"/>
      <c r="F250" s="198"/>
      <c r="G250" s="99"/>
      <c r="H250" s="99"/>
      <c r="I250" s="99"/>
      <c r="J250" s="99"/>
      <c r="K250" s="99"/>
      <c r="L250" s="99"/>
      <c r="M250" s="99"/>
      <c r="N250" s="99"/>
      <c r="O250" s="99"/>
      <c r="P250" s="99"/>
      <c r="Q250" s="282"/>
    </row>
    <row r="251" spans="1:17" ht="15.5" hidden="1">
      <c r="A251" s="192"/>
      <c r="B251" s="186" t="str">
        <f>'ATT H-2A'!B286</f>
        <v>Net Plant Carrying Charge</v>
      </c>
      <c r="C251" s="174"/>
      <c r="D251" s="138"/>
      <c r="E251" s="139"/>
      <c r="F251" s="198"/>
      <c r="G251" s="99"/>
      <c r="H251" s="99"/>
      <c r="I251" s="99"/>
      <c r="J251" s="99"/>
      <c r="K251" s="99"/>
      <c r="L251" s="99"/>
      <c r="M251" s="99"/>
      <c r="N251" s="99"/>
      <c r="O251" s="99"/>
      <c r="P251" s="99"/>
      <c r="Q251" s="282"/>
    </row>
    <row r="252" spans="1:17" ht="15.5" hidden="1">
      <c r="A252" s="212">
        <f>'ATT H-2A'!A287</f>
        <v>156</v>
      </c>
      <c r="B252" s="163"/>
      <c r="C252" s="138" t="str">
        <f>'ATT H-2A'!C287</f>
        <v>Net Revenue Requirement</v>
      </c>
      <c r="D252" s="138"/>
      <c r="E252" s="139"/>
      <c r="F252" s="198" t="str">
        <f>'ATT H-2A'!F287</f>
        <v>(Line 155)</v>
      </c>
      <c r="G252" s="99"/>
      <c r="H252" s="99"/>
      <c r="I252" s="99"/>
      <c r="J252" s="99"/>
      <c r="K252" s="99"/>
      <c r="L252" s="99"/>
      <c r="M252" s="99"/>
      <c r="N252" s="99"/>
      <c r="O252" s="99"/>
      <c r="P252" s="99"/>
      <c r="Q252" s="282"/>
    </row>
    <row r="253" spans="1:17" ht="15.5" hidden="1">
      <c r="A253" s="212">
        <f>'ATT H-2A'!A288</f>
        <v>157</v>
      </c>
      <c r="B253" s="163"/>
      <c r="C253" s="138" t="str">
        <f>'ATT H-2A'!C288</f>
        <v>Net Transmission Plant and Abandoned Plant</v>
      </c>
      <c r="D253" s="138"/>
      <c r="E253" s="139"/>
      <c r="F253" s="198" t="str">
        <f>'ATT H-2A'!F288</f>
        <v>(Line 19 - 30 + 44a)</v>
      </c>
      <c r="G253" s="99"/>
      <c r="H253" s="99"/>
      <c r="I253" s="99"/>
      <c r="J253" s="99"/>
      <c r="K253" s="99"/>
      <c r="L253" s="99"/>
      <c r="M253" s="99"/>
      <c r="N253" s="99"/>
      <c r="O253" s="99"/>
      <c r="P253" s="99"/>
      <c r="Q253" s="282"/>
    </row>
    <row r="254" spans="1:17" ht="15.5" hidden="1">
      <c r="A254" s="212">
        <f>'ATT H-2A'!A289</f>
        <v>158</v>
      </c>
      <c r="B254" s="163"/>
      <c r="C254" s="138" t="str">
        <f>'ATT H-2A'!C289</f>
        <v xml:space="preserve">Net Plant Carrying Charge </v>
      </c>
      <c r="D254" s="138"/>
      <c r="E254" s="139"/>
      <c r="F254" s="198" t="str">
        <f>'ATT H-2A'!F289</f>
        <v>(Line 156 / 157)</v>
      </c>
      <c r="G254" s="99"/>
      <c r="H254" s="99"/>
      <c r="I254" s="99"/>
      <c r="J254" s="99"/>
      <c r="K254" s="99"/>
      <c r="L254" s="99"/>
      <c r="M254" s="99"/>
      <c r="N254" s="99"/>
      <c r="O254" s="99"/>
      <c r="P254" s="99"/>
      <c r="Q254" s="282"/>
    </row>
    <row r="255" spans="1:17" ht="15.5" hidden="1">
      <c r="A255" s="212">
        <f>'ATT H-2A'!A290</f>
        <v>159</v>
      </c>
      <c r="B255" s="163"/>
      <c r="C255" s="138" t="str">
        <f>'ATT H-2A'!C290</f>
        <v>Net Plant Carrying Charge without Depreciation</v>
      </c>
      <c r="D255" s="138"/>
      <c r="E255" s="139"/>
      <c r="F255" s="198" t="str">
        <f>'ATT H-2A'!F290</f>
        <v>(Line 156 - 85) / 157</v>
      </c>
      <c r="G255" s="99"/>
      <c r="H255" s="99"/>
      <c r="I255" s="99"/>
      <c r="J255" s="99"/>
      <c r="K255" s="99"/>
      <c r="L255" s="99"/>
      <c r="M255" s="99"/>
      <c r="N255" s="99"/>
      <c r="O255" s="99"/>
      <c r="P255" s="99"/>
      <c r="Q255" s="282"/>
    </row>
    <row r="256" spans="1:17" ht="15.5" hidden="1">
      <c r="A256" s="212">
        <f>'ATT H-2A'!A291</f>
        <v>160</v>
      </c>
      <c r="B256" s="182"/>
      <c r="C256" s="138" t="str">
        <f>'ATT H-2A'!C291</f>
        <v>Net Plant Carrying Charge without Depreciation, Return, nor Income Taxes</v>
      </c>
      <c r="D256" s="138"/>
      <c r="E256" s="169"/>
      <c r="F256" s="226" t="str">
        <f>'ATT H-2A'!F291</f>
        <v>(Line 156 - 85 - 126 - 137) / 157</v>
      </c>
      <c r="G256" s="99"/>
      <c r="H256" s="99"/>
      <c r="I256" s="99"/>
      <c r="J256" s="99"/>
      <c r="K256" s="99"/>
      <c r="L256" s="99"/>
      <c r="M256" s="99"/>
      <c r="N256" s="99"/>
      <c r="O256" s="99"/>
      <c r="P256" s="99"/>
      <c r="Q256" s="282"/>
    </row>
    <row r="257" spans="1:17" ht="15.5" hidden="1">
      <c r="A257" s="192"/>
      <c r="B257" s="163"/>
      <c r="C257" s="184"/>
      <c r="D257" s="148"/>
      <c r="E257" s="200"/>
      <c r="F257" s="198"/>
      <c r="G257" s="99"/>
      <c r="H257" s="99"/>
      <c r="I257" s="99"/>
      <c r="J257" s="99"/>
      <c r="K257" s="99"/>
      <c r="L257" s="99"/>
      <c r="M257" s="99"/>
      <c r="N257" s="99"/>
      <c r="O257" s="99"/>
      <c r="P257" s="99"/>
      <c r="Q257" s="282"/>
    </row>
    <row r="258" spans="1:17" ht="15.5" hidden="1">
      <c r="A258" s="192"/>
      <c r="B258" s="163"/>
      <c r="C258" s="184"/>
      <c r="D258" s="148"/>
      <c r="E258" s="200"/>
      <c r="F258" s="198"/>
      <c r="G258" s="99"/>
      <c r="H258" s="99"/>
      <c r="I258" s="99"/>
      <c r="J258" s="99"/>
      <c r="K258" s="99"/>
      <c r="L258" s="99"/>
      <c r="M258" s="99"/>
      <c r="N258" s="99"/>
      <c r="O258" s="99"/>
      <c r="P258" s="99"/>
      <c r="Q258" s="282"/>
    </row>
    <row r="259" spans="1:17" ht="15.5" hidden="1">
      <c r="A259" s="201"/>
      <c r="B259" s="186" t="str">
        <f>'ATT H-2A'!B294</f>
        <v>Net Plant Carrying Charge Calculation per 100 basis point increase in ROE</v>
      </c>
      <c r="C259" s="138"/>
      <c r="D259" s="138"/>
      <c r="E259" s="139"/>
      <c r="F259" s="198"/>
      <c r="G259" s="99"/>
      <c r="H259" s="99"/>
      <c r="I259" s="99"/>
      <c r="J259" s="99"/>
      <c r="K259" s="99"/>
      <c r="L259" s="99"/>
      <c r="M259" s="99"/>
      <c r="N259" s="99"/>
      <c r="O259" s="99"/>
      <c r="P259" s="99"/>
      <c r="Q259" s="282"/>
    </row>
    <row r="260" spans="1:17" ht="15.5" hidden="1">
      <c r="A260" s="212">
        <f>'ATT H-2A'!A295</f>
        <v>161</v>
      </c>
      <c r="B260" s="163"/>
      <c r="C260" s="138" t="str">
        <f>'ATT H-2A'!C295</f>
        <v>Net Revenue Requirement Less Return and Taxes</v>
      </c>
      <c r="D260" s="138"/>
      <c r="E260" s="139"/>
      <c r="F260" s="238" t="str">
        <f>'ATT H-2A'!F295</f>
        <v>(Line 155 - 144 - 145)</v>
      </c>
      <c r="G260" s="99"/>
      <c r="H260" s="99"/>
      <c r="I260" s="99"/>
      <c r="J260" s="99"/>
      <c r="K260" s="99"/>
      <c r="L260" s="99"/>
      <c r="M260" s="99"/>
      <c r="N260" s="99"/>
      <c r="O260" s="99"/>
      <c r="P260" s="99"/>
      <c r="Q260" s="282"/>
    </row>
    <row r="261" spans="1:17" ht="15.5" hidden="1">
      <c r="A261" s="212">
        <f>'ATT H-2A'!A296</f>
        <v>162</v>
      </c>
      <c r="B261" s="163"/>
      <c r="C261" s="138" t="str">
        <f>'ATT H-2A'!C296</f>
        <v xml:space="preserve">Return and Taxes per 100 basis point increase in ROE </v>
      </c>
      <c r="D261" s="138"/>
      <c r="E261" s="139"/>
      <c r="F261" s="198" t="str">
        <f>'ATT H-2A'!F296</f>
        <v>Attachment 4</v>
      </c>
      <c r="G261" s="99"/>
      <c r="H261" s="99"/>
      <c r="I261" s="99"/>
      <c r="J261" s="99"/>
      <c r="K261" s="99"/>
      <c r="L261" s="99"/>
      <c r="M261" s="99"/>
      <c r="N261" s="99"/>
      <c r="O261" s="99"/>
      <c r="P261" s="99"/>
      <c r="Q261" s="282"/>
    </row>
    <row r="262" spans="1:17" ht="15.5" hidden="1">
      <c r="A262" s="212">
        <f>'ATT H-2A'!A297</f>
        <v>163</v>
      </c>
      <c r="B262" s="163"/>
      <c r="C262" s="138" t="str">
        <f>'ATT H-2A'!C297</f>
        <v xml:space="preserve">Net Revenue Requirement per 100 basis point increase in ROE </v>
      </c>
      <c r="D262" s="138"/>
      <c r="E262" s="139"/>
      <c r="F262" s="238" t="str">
        <f>'ATT H-2A'!F297</f>
        <v>(Line 161 + 162)</v>
      </c>
      <c r="G262" s="99"/>
      <c r="H262" s="99"/>
      <c r="I262" s="99"/>
      <c r="J262" s="99"/>
      <c r="K262" s="99"/>
      <c r="L262" s="99"/>
      <c r="M262" s="99"/>
      <c r="N262" s="99"/>
      <c r="O262" s="99"/>
      <c r="P262" s="99"/>
      <c r="Q262" s="282"/>
    </row>
    <row r="263" spans="1:17" ht="15.5" hidden="1">
      <c r="A263" s="212">
        <f>'ATT H-2A'!A298</f>
        <v>164</v>
      </c>
      <c r="B263" s="163"/>
      <c r="C263" s="138" t="str">
        <f>'ATT H-2A'!C298</f>
        <v>Net Transmission Plant and Abandoned Plant</v>
      </c>
      <c r="D263" s="138"/>
      <c r="E263" s="139"/>
      <c r="F263" s="198" t="str">
        <f>'ATT H-2A'!F298</f>
        <v>(Line 19 - 30 + 44a)</v>
      </c>
      <c r="G263" s="99"/>
      <c r="H263" s="99"/>
      <c r="I263" s="99"/>
      <c r="J263" s="99"/>
      <c r="K263" s="99"/>
      <c r="L263" s="99"/>
      <c r="M263" s="99"/>
      <c r="N263" s="99"/>
      <c r="O263" s="99"/>
      <c r="P263" s="99"/>
      <c r="Q263" s="282"/>
    </row>
    <row r="264" spans="1:17" ht="15.5" hidden="1">
      <c r="A264" s="212">
        <f>'ATT H-2A'!A299</f>
        <v>165</v>
      </c>
      <c r="B264" s="163"/>
      <c r="C264" s="138" t="str">
        <f>'ATT H-2A'!C299</f>
        <v xml:space="preserve">Net Plant Carrying Charge per 100 basis point increase in ROE </v>
      </c>
      <c r="D264" s="138"/>
      <c r="E264" s="139"/>
      <c r="F264" s="198" t="str">
        <f>'ATT H-2A'!F299</f>
        <v>(Line 163 / 164)</v>
      </c>
      <c r="G264" s="99"/>
      <c r="H264" s="99"/>
      <c r="I264" s="99"/>
      <c r="J264" s="99"/>
      <c r="K264" s="99"/>
      <c r="L264" s="99"/>
      <c r="M264" s="99"/>
      <c r="N264" s="99"/>
      <c r="O264" s="99"/>
      <c r="P264" s="99"/>
      <c r="Q264" s="282"/>
    </row>
    <row r="265" spans="1:17" ht="15.5" hidden="1">
      <c r="A265" s="212">
        <f>'ATT H-2A'!A300</f>
        <v>166</v>
      </c>
      <c r="B265" s="163"/>
      <c r="C265" s="138" t="str">
        <f>'ATT H-2A'!C300</f>
        <v>Net Plant Carrying Charge per 100 basis point increase in ROE without Depreciation</v>
      </c>
      <c r="D265" s="138"/>
      <c r="E265" s="139"/>
      <c r="F265" s="198" t="str">
        <f>'ATT H-2A'!F300</f>
        <v>(Line 162 - 85) / 164</v>
      </c>
      <c r="G265" s="99"/>
      <c r="H265" s="99"/>
      <c r="I265" s="99"/>
      <c r="J265" s="99"/>
      <c r="K265" s="99"/>
      <c r="L265" s="99"/>
      <c r="M265" s="99"/>
      <c r="N265" s="99"/>
      <c r="O265" s="99"/>
      <c r="P265" s="99"/>
      <c r="Q265" s="282"/>
    </row>
    <row r="266" spans="1:17" ht="15.5" hidden="1">
      <c r="A266" s="192"/>
      <c r="B266" s="163"/>
      <c r="C266" s="184"/>
      <c r="D266" s="148"/>
      <c r="E266" s="200"/>
      <c r="F266" s="198"/>
      <c r="G266" s="99"/>
      <c r="H266" s="99"/>
      <c r="I266" s="99"/>
      <c r="J266" s="99"/>
      <c r="K266" s="99"/>
      <c r="L266" s="99"/>
      <c r="M266" s="99"/>
      <c r="N266" s="99"/>
      <c r="O266" s="99"/>
      <c r="P266" s="99"/>
      <c r="Q266" s="282"/>
    </row>
    <row r="267" spans="1:17" ht="15.5" hidden="1">
      <c r="A267" s="212">
        <f>'ATT H-2A'!A302</f>
        <v>167</v>
      </c>
      <c r="B267" s="163"/>
      <c r="C267" s="186" t="str">
        <f>'ATT H-2A'!C302</f>
        <v>Net Revenue Requirement</v>
      </c>
      <c r="D267" s="138"/>
      <c r="E267" s="169"/>
      <c r="F267" s="198" t="str">
        <f>'ATT H-2A'!F302</f>
        <v>(Line 155)</v>
      </c>
      <c r="G267" s="99"/>
      <c r="H267" s="99"/>
      <c r="I267" s="99"/>
      <c r="J267" s="99"/>
      <c r="K267" s="99"/>
      <c r="L267" s="99"/>
      <c r="M267" s="99"/>
      <c r="N267" s="99"/>
      <c r="O267" s="99"/>
      <c r="P267" s="99"/>
      <c r="Q267" s="282"/>
    </row>
    <row r="268" spans="1:17" ht="15.5" hidden="1">
      <c r="A268" s="212" t="e">
        <f>'ATT H-2A'!#REF!</f>
        <v>#REF!</v>
      </c>
      <c r="B268" s="163"/>
      <c r="C268" s="84" t="e">
        <f>'ATT H-2A'!#REF!</f>
        <v>#REF!</v>
      </c>
      <c r="D268" s="138"/>
      <c r="E268" s="169"/>
      <c r="F268" s="198" t="e">
        <f>'ATT H-2A'!#REF!</f>
        <v>#REF!</v>
      </c>
      <c r="G268" s="99"/>
      <c r="H268" s="99"/>
      <c r="I268" s="99"/>
      <c r="J268" s="99"/>
      <c r="K268" s="99"/>
      <c r="L268" s="99"/>
      <c r="M268" s="99"/>
      <c r="N268" s="99"/>
      <c r="O268" s="99"/>
      <c r="P268" s="99"/>
      <c r="Q268" s="282"/>
    </row>
    <row r="269" spans="1:17" ht="15.5" hidden="1">
      <c r="A269" s="212">
        <f>'ATT H-2A'!A306</f>
        <v>171</v>
      </c>
      <c r="B269" s="163"/>
      <c r="C269" s="186" t="str">
        <f>'ATT H-2A'!C306</f>
        <v>Net Zonal Revenue Requirement</v>
      </c>
      <c r="D269" s="138"/>
      <c r="E269" s="169"/>
      <c r="F269" s="198" t="str">
        <f>'ATT H-2A'!F306</f>
        <v>(Line 167 + 168 + 169+ 170)</v>
      </c>
      <c r="G269" s="99"/>
      <c r="H269" s="99"/>
      <c r="I269" s="99"/>
      <c r="J269" s="99"/>
      <c r="K269" s="99"/>
      <c r="L269" s="99"/>
      <c r="M269" s="99"/>
      <c r="N269" s="99"/>
      <c r="O269" s="99"/>
      <c r="P269" s="99"/>
      <c r="Q269" s="282"/>
    </row>
    <row r="270" spans="1:17" ht="15.5" hidden="1">
      <c r="A270" s="192"/>
      <c r="B270" s="163"/>
      <c r="C270" s="184"/>
      <c r="D270" s="148"/>
      <c r="E270" s="200"/>
      <c r="F270" s="198"/>
      <c r="G270" s="99"/>
      <c r="H270" s="99"/>
      <c r="I270" s="99"/>
      <c r="J270" s="99"/>
      <c r="K270" s="99"/>
      <c r="L270" s="99"/>
      <c r="M270" s="99"/>
      <c r="N270" s="99"/>
      <c r="O270" s="99"/>
      <c r="P270" s="99"/>
      <c r="Q270" s="282"/>
    </row>
    <row r="271" spans="1:17" ht="15.5">
      <c r="A271" s="201"/>
      <c r="B271" s="178" t="str">
        <f>'ATT H-2A'!B308</f>
        <v>Network Zonal Service Rate</v>
      </c>
      <c r="C271" s="138"/>
      <c r="D271" s="138"/>
      <c r="E271" s="139"/>
      <c r="F271" s="198"/>
      <c r="G271" s="99"/>
      <c r="H271" s="99"/>
      <c r="I271" s="99"/>
      <c r="J271" s="99"/>
      <c r="K271" s="99"/>
      <c r="L271" s="99"/>
      <c r="M271" s="99"/>
      <c r="N271" s="99"/>
      <c r="O271" s="99"/>
      <c r="P271" s="99"/>
      <c r="Q271" s="282"/>
    </row>
    <row r="272" spans="1:17" ht="16" thickBot="1">
      <c r="A272" s="254">
        <f>'ATT H-2A'!A309</f>
        <v>172</v>
      </c>
      <c r="B272" s="255"/>
      <c r="C272" s="256" t="str">
        <f>'ATT H-2A'!C309</f>
        <v>1 CP Peak</v>
      </c>
      <c r="D272" s="256"/>
      <c r="E272" s="257" t="str">
        <f>'ATT H-2A'!E309</f>
        <v>(Note L)</v>
      </c>
      <c r="F272" s="258" t="str">
        <f>'ATT H-2A'!F309</f>
        <v>PJM Data</v>
      </c>
      <c r="G272" s="283"/>
      <c r="H272" s="283"/>
      <c r="I272" s="283"/>
      <c r="J272" s="283"/>
      <c r="K272" s="283"/>
      <c r="L272" s="283"/>
      <c r="M272" s="283"/>
      <c r="N272" s="283"/>
      <c r="O272" s="297" t="s">
        <v>451</v>
      </c>
      <c r="P272" s="283"/>
      <c r="Q272" s="295"/>
    </row>
    <row r="273" spans="1:17" ht="15.5" hidden="1">
      <c r="A273" s="212">
        <f>'ATT H-2A'!A310</f>
        <v>173</v>
      </c>
      <c r="B273" s="163"/>
      <c r="C273" s="84" t="str">
        <f>'ATT H-2A'!C310</f>
        <v>Rate ($/MW-Year)</v>
      </c>
      <c r="D273" s="239">
        <f>'ATT H-2A'!D310</f>
        <v>0</v>
      </c>
      <c r="E273" s="188"/>
      <c r="F273" s="191" t="str">
        <f>'ATT H-2A'!F310</f>
        <v>(Line 171 / 172)</v>
      </c>
      <c r="G273" s="97"/>
      <c r="H273" s="97"/>
      <c r="I273" s="97"/>
      <c r="J273" s="97"/>
      <c r="K273" s="97"/>
      <c r="L273" s="97"/>
      <c r="M273" s="97"/>
      <c r="N273" s="97"/>
      <c r="O273" s="97"/>
      <c r="P273" s="97"/>
      <c r="Q273" s="97"/>
    </row>
    <row r="274" spans="1:17" ht="15.5" hidden="1">
      <c r="A274" s="192"/>
      <c r="B274" s="163"/>
      <c r="C274" s="184"/>
      <c r="D274" s="148"/>
      <c r="E274" s="200"/>
      <c r="F274" s="198"/>
      <c r="G274" s="97"/>
      <c r="H274" s="97"/>
      <c r="I274" s="97"/>
      <c r="J274" s="97"/>
      <c r="K274" s="97"/>
      <c r="L274" s="97"/>
      <c r="M274" s="97"/>
      <c r="N274" s="97"/>
      <c r="O274" s="97"/>
      <c r="P274" s="97"/>
      <c r="Q274" s="97"/>
    </row>
    <row r="275" spans="1:17" ht="18.5" hidden="1" thickBot="1">
      <c r="A275" s="176">
        <f>'ATT H-2A'!A312</f>
        <v>174</v>
      </c>
      <c r="B275" s="189"/>
      <c r="C275" s="185" t="str">
        <f>'ATT H-2A'!C312</f>
        <v>Network Service Rate ($/MW/Year)</v>
      </c>
      <c r="D275" s="189"/>
      <c r="E275" s="189"/>
      <c r="F275" s="240" t="str">
        <f>'ATT H-2A'!F312</f>
        <v>(Line 173)</v>
      </c>
      <c r="G275" s="97"/>
      <c r="H275" s="97"/>
      <c r="I275" s="97"/>
      <c r="J275" s="97"/>
      <c r="K275" s="97"/>
      <c r="L275" s="97"/>
      <c r="M275" s="97"/>
      <c r="N275" s="97"/>
      <c r="O275" s="97"/>
      <c r="P275" s="97"/>
      <c r="Q275" s="97"/>
    </row>
    <row r="276" spans="1:17" ht="15.5" hidden="1">
      <c r="A276" s="137"/>
      <c r="B276" s="137"/>
      <c r="C276" s="136"/>
      <c r="D276" s="87"/>
      <c r="E276" s="146"/>
      <c r="F276" s="91"/>
      <c r="G276" s="97"/>
      <c r="H276" s="97"/>
      <c r="I276" s="97"/>
      <c r="J276" s="97"/>
      <c r="K276" s="97"/>
      <c r="L276" s="97"/>
      <c r="M276" s="97"/>
      <c r="N276" s="97"/>
      <c r="O276" s="97"/>
      <c r="P276" s="97"/>
      <c r="Q276" s="97"/>
    </row>
    <row r="277" spans="1:17" ht="21.25" hidden="1" customHeight="1">
      <c r="A277" s="177"/>
      <c r="B277" s="178"/>
      <c r="C277" s="84"/>
      <c r="D277" s="84"/>
      <c r="E277" s="85"/>
      <c r="F277" s="86"/>
      <c r="G277" s="97"/>
      <c r="H277" s="97"/>
      <c r="I277" s="97"/>
      <c r="J277" s="97"/>
      <c r="K277" s="97"/>
      <c r="L277" s="97"/>
      <c r="M277" s="97"/>
      <c r="N277" s="97"/>
      <c r="O277" s="97"/>
      <c r="P277" s="97"/>
      <c r="Q277" s="97"/>
    </row>
    <row r="278" spans="1:17" ht="21.25" hidden="1" customHeight="1">
      <c r="A278" s="177"/>
      <c r="B278" s="163"/>
      <c r="D278" s="84"/>
      <c r="E278" s="85"/>
      <c r="F278" s="86"/>
      <c r="G278" s="97"/>
      <c r="H278" s="97"/>
      <c r="I278" s="97"/>
      <c r="J278" s="97"/>
      <c r="K278" s="97"/>
      <c r="L278" s="97"/>
      <c r="M278" s="97"/>
      <c r="N278" s="97"/>
      <c r="O278" s="97"/>
      <c r="P278" s="97"/>
      <c r="Q278" s="97"/>
    </row>
    <row r="279" spans="1:17" ht="21.25" hidden="1" customHeight="1" thickBot="1">
      <c r="A279" s="264" t="s">
        <v>448</v>
      </c>
      <c r="B279" s="163"/>
      <c r="D279" s="84"/>
      <c r="E279" s="85"/>
      <c r="F279" s="86"/>
      <c r="G279" s="97"/>
      <c r="H279" s="97"/>
      <c r="I279" s="97"/>
      <c r="J279" s="97"/>
      <c r="K279" s="97"/>
      <c r="L279" s="97"/>
      <c r="M279" s="97"/>
      <c r="N279" s="97"/>
      <c r="O279" s="97"/>
      <c r="P279" s="97"/>
      <c r="Q279" s="97"/>
    </row>
    <row r="280" spans="1:17" ht="56.25" hidden="1" customHeight="1">
      <c r="A280" s="1581" t="s">
        <v>441</v>
      </c>
      <c r="B280" s="1582"/>
      <c r="C280" s="1582"/>
      <c r="D280" s="1582"/>
      <c r="E280" s="1582"/>
      <c r="F280" s="1582"/>
      <c r="G280" s="296" t="s">
        <v>457</v>
      </c>
      <c r="H280" s="293"/>
      <c r="I280" s="293" t="s">
        <v>442</v>
      </c>
      <c r="J280" s="1572" t="s">
        <v>389</v>
      </c>
      <c r="K280" s="1574"/>
      <c r="L280" s="1574"/>
      <c r="M280" s="1574"/>
      <c r="N280" s="1574"/>
      <c r="O280" s="1574"/>
      <c r="P280" s="1574"/>
      <c r="Q280" s="1574"/>
    </row>
    <row r="281" spans="1:17" ht="15.5" hidden="1">
      <c r="A281" s="194"/>
      <c r="B281" s="184" t="s">
        <v>286</v>
      </c>
      <c r="C281" s="84"/>
      <c r="D281" s="174"/>
      <c r="E281" s="139"/>
      <c r="F281" s="174"/>
      <c r="G281" s="284"/>
      <c r="H281" s="99"/>
      <c r="I281" s="99"/>
      <c r="J281" s="1577"/>
      <c r="K281" s="1566"/>
      <c r="L281" s="1566"/>
      <c r="M281" s="1566"/>
      <c r="N281" s="1566"/>
      <c r="O281" s="1566"/>
      <c r="P281" s="1566"/>
      <c r="Q281" s="1566"/>
    </row>
    <row r="282" spans="1:17" ht="15.5" hidden="1">
      <c r="A282" s="201">
        <v>7</v>
      </c>
      <c r="B282" s="174"/>
      <c r="C282" s="138" t="s">
        <v>199</v>
      </c>
      <c r="D282" s="84"/>
      <c r="E282" s="147" t="s">
        <v>326</v>
      </c>
      <c r="F282" s="158" t="s">
        <v>153</v>
      </c>
      <c r="G282" s="286" t="s">
        <v>460</v>
      </c>
      <c r="H282" s="134"/>
      <c r="I282" s="134" t="s">
        <v>460</v>
      </c>
      <c r="J282" s="1565" t="s">
        <v>459</v>
      </c>
      <c r="K282" s="1566"/>
      <c r="L282" s="1566"/>
      <c r="M282" s="1566"/>
      <c r="N282" s="1566"/>
      <c r="O282" s="1566"/>
      <c r="P282" s="1566"/>
      <c r="Q282" s="1566"/>
    </row>
    <row r="283" spans="1:17" ht="15.5" hidden="1">
      <c r="A283" s="201">
        <v>10</v>
      </c>
      <c r="B283" s="174"/>
      <c r="C283" s="138" t="s">
        <v>310</v>
      </c>
      <c r="D283" s="84"/>
      <c r="E283" s="147" t="s">
        <v>188</v>
      </c>
      <c r="F283" s="154" t="s">
        <v>323</v>
      </c>
      <c r="G283" s="286" t="s">
        <v>460</v>
      </c>
      <c r="H283" s="134"/>
      <c r="I283" s="134" t="s">
        <v>460</v>
      </c>
      <c r="J283" s="1565" t="s">
        <v>459</v>
      </c>
      <c r="K283" s="1566"/>
      <c r="L283" s="1566"/>
      <c r="M283" s="1566"/>
      <c r="N283" s="1566"/>
      <c r="O283" s="1566"/>
      <c r="P283" s="1566"/>
      <c r="Q283" s="1566"/>
    </row>
    <row r="284" spans="1:17" ht="15.5" hidden="1">
      <c r="A284" s="201">
        <v>11</v>
      </c>
      <c r="B284" s="174"/>
      <c r="C284" s="138" t="s">
        <v>282</v>
      </c>
      <c r="D284" s="84"/>
      <c r="E284" s="147" t="s">
        <v>296</v>
      </c>
      <c r="F284" s="154" t="s">
        <v>153</v>
      </c>
      <c r="G284" s="286" t="s">
        <v>460</v>
      </c>
      <c r="H284" s="134"/>
      <c r="I284" s="134" t="s">
        <v>460</v>
      </c>
      <c r="J284" s="1565" t="s">
        <v>459</v>
      </c>
      <c r="K284" s="1566"/>
      <c r="L284" s="1566"/>
      <c r="M284" s="1566"/>
      <c r="N284" s="1566"/>
      <c r="O284" s="1566"/>
      <c r="P284" s="1566"/>
      <c r="Q284" s="1566"/>
    </row>
    <row r="285" spans="1:17" ht="15.5" hidden="1">
      <c r="A285" s="201">
        <v>12</v>
      </c>
      <c r="B285" s="84"/>
      <c r="C285" s="148" t="s">
        <v>311</v>
      </c>
      <c r="D285" s="84"/>
      <c r="E285" s="147" t="s">
        <v>296</v>
      </c>
      <c r="F285" s="154" t="s">
        <v>153</v>
      </c>
      <c r="G285" s="286" t="s">
        <v>460</v>
      </c>
      <c r="H285" s="134"/>
      <c r="I285" s="134" t="s">
        <v>460</v>
      </c>
      <c r="J285" s="1565" t="s">
        <v>459</v>
      </c>
      <c r="K285" s="1566"/>
      <c r="L285" s="1566"/>
      <c r="M285" s="1566"/>
      <c r="N285" s="1566"/>
      <c r="O285" s="1566"/>
      <c r="P285" s="1566"/>
      <c r="Q285" s="1566"/>
    </row>
    <row r="286" spans="1:17" ht="15.5" hidden="1">
      <c r="A286" s="194"/>
      <c r="B286" s="184" t="s">
        <v>236</v>
      </c>
      <c r="C286" s="84"/>
      <c r="D286" s="84"/>
      <c r="E286" s="200"/>
      <c r="F286" s="158"/>
      <c r="G286" s="284"/>
      <c r="H286" s="99"/>
      <c r="I286" s="99"/>
      <c r="J286" s="1565"/>
      <c r="K286" s="1566"/>
      <c r="L286" s="1566"/>
      <c r="M286" s="1566"/>
      <c r="N286" s="1566"/>
      <c r="O286" s="1566"/>
      <c r="P286" s="1566"/>
      <c r="Q286" s="1566"/>
    </row>
    <row r="287" spans="1:17" ht="15.5" hidden="1">
      <c r="A287" s="201">
        <v>21</v>
      </c>
      <c r="B287" s="163"/>
      <c r="C287" s="155" t="s">
        <v>206</v>
      </c>
      <c r="D287" s="84"/>
      <c r="E287" s="147" t="s">
        <v>326</v>
      </c>
      <c r="F287" s="158" t="s">
        <v>153</v>
      </c>
      <c r="G287" s="286" t="s">
        <v>460</v>
      </c>
      <c r="H287" s="134"/>
      <c r="I287" s="134" t="s">
        <v>460</v>
      </c>
      <c r="J287" s="1565" t="s">
        <v>459</v>
      </c>
      <c r="K287" s="1566"/>
      <c r="L287" s="1566"/>
      <c r="M287" s="1566"/>
      <c r="N287" s="1566"/>
      <c r="O287" s="1566"/>
      <c r="P287" s="1566"/>
      <c r="Q287" s="1566"/>
    </row>
    <row r="288" spans="1:17" ht="15.5" hidden="1">
      <c r="A288" s="201"/>
      <c r="B288" s="184" t="s">
        <v>195</v>
      </c>
      <c r="C288" s="184"/>
      <c r="D288" s="158"/>
      <c r="E288" s="156"/>
      <c r="F288" s="154"/>
      <c r="G288" s="284"/>
      <c r="H288" s="99"/>
      <c r="I288" s="99"/>
      <c r="J288" s="1565"/>
      <c r="K288" s="1566"/>
      <c r="L288" s="1566"/>
      <c r="M288" s="1566"/>
      <c r="N288" s="1566"/>
      <c r="O288" s="1566"/>
      <c r="P288" s="1566"/>
      <c r="Q288" s="1566"/>
    </row>
    <row r="289" spans="1:17" ht="15.5" hidden="1">
      <c r="A289" s="201">
        <v>30</v>
      </c>
      <c r="B289" s="163"/>
      <c r="C289" s="155" t="s">
        <v>282</v>
      </c>
      <c r="D289" s="84"/>
      <c r="E289" s="147" t="s">
        <v>296</v>
      </c>
      <c r="F289" s="154" t="s">
        <v>455</v>
      </c>
      <c r="G289" s="286" t="s">
        <v>460</v>
      </c>
      <c r="H289" s="134"/>
      <c r="I289" s="134" t="s">
        <v>460</v>
      </c>
      <c r="J289" s="1565" t="s">
        <v>459</v>
      </c>
      <c r="K289" s="1566"/>
      <c r="L289" s="1566"/>
      <c r="M289" s="1566"/>
      <c r="N289" s="1566"/>
      <c r="O289" s="1566"/>
      <c r="P289" s="1566"/>
      <c r="Q289" s="1566"/>
    </row>
    <row r="290" spans="1:17" ht="15.5" hidden="1">
      <c r="A290" s="201">
        <v>31</v>
      </c>
      <c r="B290" s="163"/>
      <c r="C290" s="155" t="s">
        <v>233</v>
      </c>
      <c r="D290" s="84"/>
      <c r="E290" s="147" t="s">
        <v>296</v>
      </c>
      <c r="F290" s="154" t="s">
        <v>456</v>
      </c>
      <c r="G290" s="286" t="s">
        <v>460</v>
      </c>
      <c r="H290" s="134"/>
      <c r="I290" s="134" t="s">
        <v>460</v>
      </c>
      <c r="J290" s="1565" t="s">
        <v>459</v>
      </c>
      <c r="K290" s="1566"/>
      <c r="L290" s="1566"/>
      <c r="M290" s="1566"/>
      <c r="N290" s="1566"/>
      <c r="O290" s="1566"/>
      <c r="P290" s="1566"/>
      <c r="Q290" s="1566"/>
    </row>
    <row r="291" spans="1:17" ht="15.5" hidden="1">
      <c r="A291" s="207"/>
      <c r="B291" s="157" t="s">
        <v>356</v>
      </c>
      <c r="C291" s="84"/>
      <c r="D291" s="138"/>
      <c r="E291" s="208"/>
      <c r="F291" s="174"/>
      <c r="G291" s="284"/>
      <c r="H291" s="99"/>
      <c r="I291" s="99"/>
      <c r="J291" s="1565"/>
      <c r="K291" s="1566"/>
      <c r="L291" s="1566"/>
      <c r="M291" s="1566"/>
      <c r="N291" s="1566"/>
      <c r="O291" s="1566"/>
      <c r="P291" s="1566"/>
      <c r="Q291" s="1566"/>
    </row>
    <row r="292" spans="1:17" ht="15.5" hidden="1">
      <c r="A292" s="201">
        <v>40</v>
      </c>
      <c r="B292" s="138"/>
      <c r="C292" s="159" t="s">
        <v>327</v>
      </c>
      <c r="D292" s="160"/>
      <c r="E292" s="161" t="s">
        <v>174</v>
      </c>
      <c r="F292" s="158" t="s">
        <v>175</v>
      </c>
      <c r="G292" s="286" t="s">
        <v>460</v>
      </c>
      <c r="H292" s="134"/>
      <c r="I292" s="134" t="s">
        <v>460</v>
      </c>
      <c r="J292" s="1565" t="s">
        <v>459</v>
      </c>
      <c r="K292" s="1566"/>
      <c r="L292" s="1566"/>
      <c r="M292" s="1566"/>
      <c r="N292" s="1566"/>
      <c r="O292" s="1566"/>
      <c r="P292" s="1566"/>
      <c r="Q292" s="1566"/>
    </row>
    <row r="293" spans="1:17" ht="15.5" hidden="1">
      <c r="A293" s="201"/>
      <c r="B293" s="157" t="s">
        <v>196</v>
      </c>
      <c r="C293" s="165"/>
      <c r="D293" s="84"/>
      <c r="E293" s="139"/>
      <c r="F293" s="242"/>
      <c r="G293" s="284"/>
      <c r="H293" s="99"/>
      <c r="I293" s="99"/>
      <c r="J293" s="1565"/>
      <c r="K293" s="1566"/>
      <c r="L293" s="1566"/>
      <c r="M293" s="1566"/>
      <c r="N293" s="1566"/>
      <c r="O293" s="1566"/>
      <c r="P293" s="1566"/>
      <c r="Q293" s="1566"/>
    </row>
    <row r="294" spans="1:17" ht="15.5" hidden="1">
      <c r="A294" s="201">
        <v>43</v>
      </c>
      <c r="B294" s="214"/>
      <c r="C294" s="165" t="s">
        <v>299</v>
      </c>
      <c r="D294" s="147"/>
      <c r="E294" s="187" t="s">
        <v>296</v>
      </c>
      <c r="F294" s="166" t="s">
        <v>314</v>
      </c>
      <c r="G294" s="286" t="s">
        <v>460</v>
      </c>
      <c r="H294" s="134"/>
      <c r="I294" s="134" t="s">
        <v>460</v>
      </c>
      <c r="J294" s="1565" t="s">
        <v>459</v>
      </c>
      <c r="K294" s="1566"/>
      <c r="L294" s="1566"/>
      <c r="M294" s="1566"/>
      <c r="N294" s="1566"/>
      <c r="O294" s="1566"/>
      <c r="P294" s="1566"/>
      <c r="Q294" s="1566"/>
    </row>
    <row r="295" spans="1:17" ht="15.5" hidden="1">
      <c r="A295" s="201"/>
      <c r="B295" s="157" t="s">
        <v>192</v>
      </c>
      <c r="C295" s="138"/>
      <c r="D295" s="138"/>
      <c r="E295" s="217"/>
      <c r="F295" s="243"/>
      <c r="G295" s="284"/>
      <c r="H295" s="99"/>
      <c r="I295" s="99"/>
      <c r="J295" s="1565"/>
      <c r="K295" s="1566"/>
      <c r="L295" s="1566"/>
      <c r="M295" s="1566"/>
      <c r="N295" s="1566"/>
      <c r="O295" s="1566"/>
      <c r="P295" s="1566"/>
      <c r="Q295" s="1566"/>
    </row>
    <row r="296" spans="1:17" ht="15.5" hidden="1">
      <c r="A296" s="207">
        <v>46</v>
      </c>
      <c r="B296" s="138"/>
      <c r="C296" s="138" t="s">
        <v>239</v>
      </c>
      <c r="D296" s="148"/>
      <c r="E296" s="187" t="s">
        <v>296</v>
      </c>
      <c r="F296" s="165" t="s">
        <v>254</v>
      </c>
      <c r="G296" s="286" t="s">
        <v>460</v>
      </c>
      <c r="H296" s="134"/>
      <c r="I296" s="134" t="s">
        <v>460</v>
      </c>
      <c r="J296" s="1565" t="s">
        <v>459</v>
      </c>
      <c r="K296" s="1566"/>
      <c r="L296" s="1566"/>
      <c r="M296" s="1566"/>
      <c r="N296" s="1566"/>
      <c r="O296" s="1566"/>
      <c r="P296" s="1566"/>
      <c r="Q296" s="1566"/>
    </row>
    <row r="297" spans="1:17" ht="15.5" hidden="1">
      <c r="A297" s="201"/>
      <c r="B297" s="184" t="s">
        <v>181</v>
      </c>
      <c r="C297" s="148"/>
      <c r="D297" s="148"/>
      <c r="E297" s="200"/>
      <c r="F297" s="148"/>
      <c r="G297" s="284"/>
      <c r="H297" s="99"/>
      <c r="I297" s="99"/>
      <c r="J297" s="1565"/>
      <c r="K297" s="1566"/>
      <c r="L297" s="1566"/>
      <c r="M297" s="1566"/>
      <c r="N297" s="1566"/>
      <c r="O297" s="1566"/>
      <c r="P297" s="1566"/>
      <c r="Q297" s="1566"/>
    </row>
    <row r="298" spans="1:17" ht="16" hidden="1" thickBot="1">
      <c r="A298" s="254">
        <v>64</v>
      </c>
      <c r="B298" s="259"/>
      <c r="C298" s="260" t="s">
        <v>267</v>
      </c>
      <c r="D298" s="261"/>
      <c r="E298" s="262" t="s">
        <v>296</v>
      </c>
      <c r="F298" s="263" t="s">
        <v>153</v>
      </c>
      <c r="G298" s="291" t="s">
        <v>460</v>
      </c>
      <c r="H298" s="297"/>
      <c r="I298" s="297" t="s">
        <v>460</v>
      </c>
      <c r="J298" s="1567" t="s">
        <v>459</v>
      </c>
      <c r="K298" s="1568"/>
      <c r="L298" s="1568"/>
      <c r="M298" s="1568"/>
      <c r="N298" s="1568"/>
      <c r="O298" s="1568"/>
      <c r="P298" s="1568"/>
      <c r="Q298" s="1568"/>
    </row>
    <row r="299" spans="1:17" ht="21.25" hidden="1" customHeight="1">
      <c r="G299" s="97"/>
      <c r="H299" s="97"/>
      <c r="I299" s="97"/>
      <c r="J299" s="97"/>
      <c r="K299" s="97"/>
      <c r="L299" s="97"/>
      <c r="M299" s="97"/>
      <c r="N299" s="97"/>
      <c r="O299" s="97"/>
      <c r="P299" s="97"/>
      <c r="Q299" s="97"/>
    </row>
    <row r="300" spans="1:17" ht="21.25" hidden="1" customHeight="1">
      <c r="G300" s="97"/>
      <c r="H300" s="97"/>
      <c r="I300" s="97"/>
      <c r="J300" s="97"/>
      <c r="K300" s="97"/>
      <c r="L300" s="97"/>
      <c r="M300" s="97"/>
      <c r="N300" s="97"/>
      <c r="O300" s="97"/>
      <c r="P300" s="97"/>
      <c r="Q300" s="97"/>
    </row>
    <row r="301" spans="1:17" ht="21.25" hidden="1" customHeight="1" thickBot="1">
      <c r="A301" s="264" t="s">
        <v>449</v>
      </c>
      <c r="G301" s="97"/>
      <c r="H301" s="97"/>
      <c r="I301" s="97"/>
      <c r="J301" s="97"/>
      <c r="K301" s="97"/>
      <c r="L301" s="97"/>
      <c r="M301" s="97"/>
      <c r="N301" s="97"/>
      <c r="O301" s="97"/>
      <c r="P301" s="97"/>
      <c r="Q301" s="97"/>
    </row>
    <row r="302" spans="1:17" ht="55.5" hidden="1" customHeight="1">
      <c r="A302" s="1569" t="s">
        <v>441</v>
      </c>
      <c r="B302" s="1570"/>
      <c r="C302" s="1570"/>
      <c r="D302" s="1570"/>
      <c r="E302" s="1570"/>
      <c r="F302" s="1571"/>
      <c r="G302" s="296" t="s">
        <v>457</v>
      </c>
      <c r="H302" s="293"/>
      <c r="I302" s="293" t="s">
        <v>461</v>
      </c>
      <c r="J302" s="1572" t="s">
        <v>389</v>
      </c>
      <c r="K302" s="1574"/>
      <c r="L302" s="1574"/>
      <c r="M302" s="1574"/>
      <c r="N302" s="1574"/>
      <c r="O302" s="1574"/>
      <c r="P302" s="1574"/>
      <c r="Q302" s="1574"/>
    </row>
    <row r="303" spans="1:17" ht="15.5" hidden="1">
      <c r="A303" s="201">
        <v>25</v>
      </c>
      <c r="B303" s="163"/>
      <c r="C303" s="184" t="s">
        <v>383</v>
      </c>
      <c r="D303" s="241"/>
      <c r="E303" s="161" t="s">
        <v>297</v>
      </c>
      <c r="F303" s="191" t="s">
        <v>313</v>
      </c>
      <c r="G303" s="286" t="s">
        <v>460</v>
      </c>
      <c r="H303" s="134"/>
      <c r="I303" s="134" t="s">
        <v>460</v>
      </c>
      <c r="J303" s="1565" t="s">
        <v>459</v>
      </c>
      <c r="K303" s="1566"/>
      <c r="L303" s="1566"/>
      <c r="M303" s="1566"/>
      <c r="N303" s="1566"/>
      <c r="O303" s="1566"/>
      <c r="P303" s="1566"/>
      <c r="Q303" s="1566"/>
    </row>
    <row r="304" spans="1:17" ht="15.5" hidden="1">
      <c r="A304" s="201"/>
      <c r="B304" s="184" t="s">
        <v>180</v>
      </c>
      <c r="C304" s="138"/>
      <c r="D304" s="148"/>
      <c r="E304" s="156"/>
      <c r="F304" s="198"/>
      <c r="G304" s="284"/>
      <c r="H304" s="99"/>
      <c r="I304" s="99"/>
      <c r="J304" s="1565"/>
      <c r="K304" s="1566"/>
      <c r="L304" s="1566"/>
      <c r="M304" s="1566"/>
      <c r="N304" s="1566"/>
      <c r="O304" s="1566"/>
      <c r="P304" s="1566"/>
      <c r="Q304" s="1566"/>
    </row>
    <row r="305" spans="1:17" ht="15.5" hidden="1">
      <c r="A305" s="201">
        <v>73</v>
      </c>
      <c r="B305" s="216"/>
      <c r="C305" s="165" t="s">
        <v>332</v>
      </c>
      <c r="D305" s="147"/>
      <c r="E305" s="187" t="s">
        <v>297</v>
      </c>
      <c r="F305" s="219" t="s">
        <v>147</v>
      </c>
      <c r="G305" s="286" t="s">
        <v>460</v>
      </c>
      <c r="H305" s="134"/>
      <c r="I305" s="134" t="s">
        <v>460</v>
      </c>
      <c r="J305" s="1565" t="s">
        <v>459</v>
      </c>
      <c r="K305" s="1566"/>
      <c r="L305" s="1566"/>
      <c r="M305" s="1566"/>
      <c r="N305" s="1566"/>
      <c r="O305" s="1566"/>
      <c r="P305" s="1566"/>
      <c r="Q305" s="1566"/>
    </row>
    <row r="306" spans="1:17" ht="15.5" hidden="1">
      <c r="A306" s="169"/>
      <c r="B306" s="157"/>
      <c r="C306" s="138"/>
      <c r="D306" s="148"/>
      <c r="E306" s="169"/>
      <c r="F306" s="208"/>
      <c r="G306" s="99"/>
      <c r="H306" s="99"/>
      <c r="I306" s="99"/>
      <c r="J306" s="1565"/>
      <c r="K306" s="1566"/>
      <c r="L306" s="1566"/>
      <c r="M306" s="1566"/>
      <c r="N306" s="1566"/>
      <c r="O306" s="1566"/>
      <c r="P306" s="1566"/>
      <c r="Q306" s="1566"/>
    </row>
    <row r="307" spans="1:17" ht="15.5" hidden="1">
      <c r="A307" s="182"/>
      <c r="B307" s="216"/>
      <c r="C307" s="165"/>
      <c r="D307" s="148"/>
      <c r="E307" s="230"/>
      <c r="F307" s="165"/>
      <c r="G307" s="134" t="s">
        <v>460</v>
      </c>
      <c r="H307" s="134"/>
      <c r="I307" s="134" t="s">
        <v>460</v>
      </c>
      <c r="J307" s="1565" t="s">
        <v>459</v>
      </c>
      <c r="K307" s="1566"/>
      <c r="L307" s="1566"/>
      <c r="M307" s="1566"/>
      <c r="N307" s="1566"/>
      <c r="O307" s="1566"/>
      <c r="P307" s="1566"/>
      <c r="Q307" s="1566"/>
    </row>
    <row r="308" spans="1:17" ht="15.5" hidden="1">
      <c r="A308" s="182"/>
      <c r="B308" s="216"/>
      <c r="C308" s="165"/>
      <c r="D308" s="148"/>
      <c r="E308" s="230"/>
      <c r="F308" s="165"/>
      <c r="G308" s="134" t="s">
        <v>460</v>
      </c>
      <c r="H308" s="134"/>
      <c r="I308" s="134" t="s">
        <v>460</v>
      </c>
      <c r="J308" s="1565" t="s">
        <v>459</v>
      </c>
      <c r="K308" s="1566"/>
      <c r="L308" s="1566"/>
      <c r="M308" s="1566"/>
      <c r="N308" s="1566"/>
      <c r="O308" s="1566"/>
      <c r="P308" s="1566"/>
      <c r="Q308" s="1566"/>
    </row>
    <row r="309" spans="1:17" ht="16" hidden="1" thickBot="1">
      <c r="A309" s="182"/>
      <c r="B309" s="216"/>
      <c r="C309" s="165"/>
      <c r="D309" s="148"/>
      <c r="E309" s="230"/>
      <c r="F309" s="165"/>
      <c r="G309" s="297" t="s">
        <v>460</v>
      </c>
      <c r="H309" s="297"/>
      <c r="I309" s="297" t="s">
        <v>460</v>
      </c>
      <c r="J309" s="1567" t="s">
        <v>459</v>
      </c>
      <c r="K309" s="1568"/>
      <c r="L309" s="1568"/>
      <c r="M309" s="1568"/>
      <c r="N309" s="1568"/>
      <c r="O309" s="1568"/>
      <c r="P309" s="1568"/>
      <c r="Q309" s="1568"/>
    </row>
    <row r="310" spans="1:17" ht="21.25" hidden="1" customHeight="1">
      <c r="A310" s="182"/>
      <c r="B310" s="216"/>
      <c r="C310" s="165"/>
      <c r="D310" s="148"/>
      <c r="E310" s="230"/>
      <c r="F310" s="165"/>
      <c r="G310" s="99"/>
      <c r="H310" s="99"/>
      <c r="I310" s="134"/>
      <c r="J310" s="99"/>
      <c r="K310" s="99"/>
      <c r="L310" s="99"/>
      <c r="M310" s="99"/>
      <c r="N310" s="99"/>
      <c r="O310" s="99"/>
      <c r="P310" s="99"/>
      <c r="Q310" s="99"/>
    </row>
    <row r="311" spans="1:17" ht="21.25" hidden="1" customHeight="1">
      <c r="A311" s="366"/>
      <c r="B311" s="366"/>
      <c r="C311" s="366"/>
      <c r="D311" s="366"/>
      <c r="E311" s="366"/>
      <c r="F311" s="366"/>
      <c r="G311" s="97"/>
      <c r="H311" s="97"/>
      <c r="I311" s="97"/>
      <c r="J311" s="97"/>
      <c r="K311" s="97"/>
      <c r="L311" s="97"/>
      <c r="M311" s="97"/>
      <c r="N311" s="97"/>
      <c r="O311" s="97"/>
      <c r="P311" s="97"/>
      <c r="Q311" s="97"/>
    </row>
    <row r="312" spans="1:17" ht="21.25" hidden="1" customHeight="1" thickBot="1">
      <c r="A312" s="264"/>
      <c r="B312" s="366"/>
      <c r="C312" s="366"/>
      <c r="D312" s="366"/>
      <c r="E312" s="366"/>
      <c r="F312" s="366"/>
      <c r="G312" s="97"/>
      <c r="H312" s="97"/>
      <c r="I312" s="97"/>
      <c r="J312" s="97"/>
      <c r="K312" s="97"/>
      <c r="L312" s="97"/>
      <c r="M312" s="97"/>
      <c r="N312" s="97"/>
      <c r="O312" s="97"/>
      <c r="P312" s="97"/>
      <c r="Q312" s="97"/>
    </row>
    <row r="313" spans="1:17" ht="72" hidden="1" customHeight="1">
      <c r="A313" s="1583"/>
      <c r="B313" s="1583"/>
      <c r="C313" s="1583"/>
      <c r="D313" s="1583"/>
      <c r="E313" s="1583"/>
      <c r="F313" s="1583"/>
      <c r="G313" s="293" t="str">
        <f>+G302</f>
        <v>Form 1 Amount</v>
      </c>
      <c r="H313" s="293"/>
      <c r="I313" s="293" t="s">
        <v>530</v>
      </c>
      <c r="J313" s="1572" t="s">
        <v>389</v>
      </c>
      <c r="K313" s="1574"/>
      <c r="L313" s="1574"/>
      <c r="M313" s="1574"/>
      <c r="N313" s="1574"/>
      <c r="O313" s="1574"/>
      <c r="P313" s="1574"/>
      <c r="Q313" s="1574"/>
    </row>
    <row r="314" spans="1:17" ht="15.5" hidden="1">
      <c r="A314" s="169"/>
      <c r="B314" s="184"/>
      <c r="C314" s="148"/>
      <c r="D314" s="138"/>
      <c r="E314" s="169"/>
      <c r="F314" s="138"/>
      <c r="G314" s="99"/>
      <c r="H314" s="99"/>
      <c r="I314" s="99"/>
      <c r="J314" s="1565"/>
      <c r="K314" s="1566"/>
      <c r="L314" s="1566"/>
      <c r="M314" s="1566"/>
      <c r="N314" s="1566"/>
      <c r="O314" s="1566"/>
      <c r="P314" s="1566"/>
      <c r="Q314" s="1566"/>
    </row>
    <row r="315" spans="1:17" ht="15.5" hidden="1">
      <c r="A315" s="201">
        <v>6</v>
      </c>
      <c r="B315" s="174"/>
      <c r="C315" s="138" t="s">
        <v>302</v>
      </c>
      <c r="D315" s="84"/>
      <c r="E315" s="147" t="s">
        <v>359</v>
      </c>
      <c r="F315" s="196" t="s">
        <v>172</v>
      </c>
      <c r="G315" s="286" t="s">
        <v>460</v>
      </c>
      <c r="H315" s="134"/>
      <c r="I315" s="134" t="s">
        <v>460</v>
      </c>
      <c r="J315" s="1565" t="s">
        <v>459</v>
      </c>
      <c r="K315" s="1566"/>
      <c r="L315" s="1566"/>
      <c r="M315" s="1566"/>
      <c r="N315" s="1566"/>
      <c r="O315" s="1566"/>
      <c r="P315" s="1566"/>
      <c r="Q315" s="1566"/>
    </row>
    <row r="316" spans="1:17" ht="15.5" hidden="1">
      <c r="A316" s="201">
        <v>7</v>
      </c>
      <c r="B316" s="174"/>
      <c r="C316" s="138" t="s">
        <v>199</v>
      </c>
      <c r="D316" s="84"/>
      <c r="E316" s="147" t="s">
        <v>326</v>
      </c>
      <c r="F316" s="202" t="s">
        <v>153</v>
      </c>
      <c r="G316" s="286" t="s">
        <v>460</v>
      </c>
      <c r="H316" s="134"/>
      <c r="I316" s="134" t="s">
        <v>460</v>
      </c>
      <c r="J316" s="1565" t="s">
        <v>459</v>
      </c>
      <c r="K316" s="1566"/>
      <c r="L316" s="1566"/>
      <c r="M316" s="1566"/>
      <c r="N316" s="1566"/>
      <c r="O316" s="1566"/>
      <c r="P316" s="1566"/>
      <c r="Q316" s="1566"/>
    </row>
    <row r="317" spans="1:17" ht="15.5" hidden="1">
      <c r="A317" s="194"/>
      <c r="B317" s="184" t="s">
        <v>236</v>
      </c>
      <c r="C317" s="84"/>
      <c r="D317" s="84"/>
      <c r="E317" s="200"/>
      <c r="F317" s="202"/>
      <c r="G317" s="284"/>
      <c r="H317" s="99"/>
      <c r="I317" s="99"/>
      <c r="J317" s="1565"/>
      <c r="K317" s="1566"/>
      <c r="L317" s="1566"/>
      <c r="M317" s="1566"/>
      <c r="N317" s="1566"/>
      <c r="O317" s="1566"/>
      <c r="P317" s="1566"/>
      <c r="Q317" s="1566"/>
    </row>
    <row r="318" spans="1:17" ht="15.5" hidden="1">
      <c r="A318" s="201">
        <v>19</v>
      </c>
      <c r="B318" s="163"/>
      <c r="C318" s="170" t="s">
        <v>271</v>
      </c>
      <c r="D318" s="84"/>
      <c r="E318" s="147" t="s">
        <v>359</v>
      </c>
      <c r="F318" s="202" t="s">
        <v>173</v>
      </c>
      <c r="G318" s="286" t="s">
        <v>460</v>
      </c>
      <c r="H318" s="134"/>
      <c r="I318" s="134" t="s">
        <v>460</v>
      </c>
      <c r="J318" s="1565" t="s">
        <v>459</v>
      </c>
      <c r="K318" s="1566"/>
      <c r="L318" s="1566"/>
      <c r="M318" s="1566"/>
      <c r="N318" s="1566"/>
      <c r="O318" s="1566"/>
      <c r="P318" s="1566"/>
      <c r="Q318" s="1566"/>
    </row>
    <row r="319" spans="1:17" ht="16" hidden="1" thickBot="1">
      <c r="A319" s="254">
        <v>21</v>
      </c>
      <c r="B319" s="255"/>
      <c r="C319" s="269" t="s">
        <v>206</v>
      </c>
      <c r="D319" s="256"/>
      <c r="E319" s="270" t="s">
        <v>326</v>
      </c>
      <c r="F319" s="271" t="s">
        <v>153</v>
      </c>
      <c r="G319" s="291" t="s">
        <v>460</v>
      </c>
      <c r="H319" s="297"/>
      <c r="I319" s="297" t="s">
        <v>460</v>
      </c>
      <c r="J319" s="1567" t="s">
        <v>459</v>
      </c>
      <c r="K319" s="1568"/>
      <c r="L319" s="1568"/>
      <c r="M319" s="1568"/>
      <c r="N319" s="1568"/>
      <c r="O319" s="1568"/>
      <c r="P319" s="1568"/>
      <c r="Q319" s="1568"/>
    </row>
    <row r="320" spans="1:17" ht="21.25" hidden="1" customHeight="1">
      <c r="G320" s="97"/>
      <c r="H320" s="97"/>
      <c r="I320" s="97"/>
      <c r="J320" s="97"/>
      <c r="K320" s="97"/>
      <c r="L320" s="97"/>
      <c r="M320" s="97"/>
      <c r="N320" s="97"/>
      <c r="O320" s="97"/>
      <c r="P320" s="97"/>
      <c r="Q320" s="97"/>
    </row>
    <row r="321" spans="1:17" ht="21.25" hidden="1" customHeight="1">
      <c r="G321" s="97"/>
      <c r="H321" s="97"/>
      <c r="I321" s="97"/>
      <c r="J321" s="97"/>
      <c r="K321" s="97"/>
      <c r="L321" s="97"/>
      <c r="M321" s="97"/>
      <c r="N321" s="97"/>
      <c r="O321" s="97"/>
      <c r="P321" s="97"/>
      <c r="Q321" s="97"/>
    </row>
    <row r="322" spans="1:17" ht="21.25" hidden="1" customHeight="1" thickBot="1">
      <c r="A322" s="264" t="s">
        <v>447</v>
      </c>
      <c r="G322" s="97"/>
      <c r="H322" s="97"/>
      <c r="I322" s="97"/>
      <c r="J322" s="97"/>
      <c r="K322" s="97"/>
      <c r="L322" s="97"/>
      <c r="M322" s="97"/>
      <c r="N322" s="97"/>
      <c r="O322" s="97"/>
      <c r="P322" s="97"/>
      <c r="Q322" s="97"/>
    </row>
    <row r="323" spans="1:17" ht="38.25" hidden="1" customHeight="1">
      <c r="A323" s="1569" t="s">
        <v>441</v>
      </c>
      <c r="B323" s="1570"/>
      <c r="C323" s="1570"/>
      <c r="D323" s="1570"/>
      <c r="E323" s="1570"/>
      <c r="F323" s="1571"/>
      <c r="G323" s="293" t="str">
        <f>+G313</f>
        <v>Form 1 Amount</v>
      </c>
      <c r="H323" s="293"/>
      <c r="I323" s="293" t="s">
        <v>443</v>
      </c>
      <c r="J323" s="1572" t="s">
        <v>389</v>
      </c>
      <c r="K323" s="1574"/>
      <c r="L323" s="1574"/>
      <c r="M323" s="1574"/>
      <c r="N323" s="1574"/>
      <c r="O323" s="1574"/>
      <c r="P323" s="1574"/>
      <c r="Q323" s="1574"/>
    </row>
    <row r="324" spans="1:17" ht="15.5" hidden="1">
      <c r="A324" s="201"/>
      <c r="B324" s="184" t="s">
        <v>181</v>
      </c>
      <c r="C324" s="148"/>
      <c r="D324" s="148"/>
      <c r="E324" s="200"/>
      <c r="F324" s="226"/>
      <c r="G324" s="99"/>
      <c r="H324" s="99"/>
      <c r="I324" s="99"/>
      <c r="J324" s="1565"/>
      <c r="K324" s="1566"/>
      <c r="L324" s="1566"/>
      <c r="M324" s="1566"/>
      <c r="N324" s="1566"/>
      <c r="O324" s="1566"/>
      <c r="P324" s="1566"/>
      <c r="Q324" s="1566"/>
    </row>
    <row r="325" spans="1:17" ht="16" hidden="1" thickBot="1">
      <c r="A325" s="254">
        <v>69</v>
      </c>
      <c r="B325" s="259"/>
      <c r="C325" s="260" t="s">
        <v>306</v>
      </c>
      <c r="D325" s="272"/>
      <c r="E325" s="273" t="s">
        <v>331</v>
      </c>
      <c r="F325" s="271" t="s">
        <v>283</v>
      </c>
      <c r="G325" s="291" t="s">
        <v>460</v>
      </c>
      <c r="H325" s="297"/>
      <c r="I325" s="297" t="s">
        <v>460</v>
      </c>
      <c r="J325" s="1567" t="s">
        <v>459</v>
      </c>
      <c r="K325" s="1568"/>
      <c r="L325" s="1568"/>
      <c r="M325" s="1568"/>
      <c r="N325" s="1568"/>
      <c r="O325" s="1568"/>
      <c r="P325" s="1568"/>
      <c r="Q325" s="1568"/>
    </row>
    <row r="326" spans="1:17" ht="21.25" hidden="1" customHeight="1">
      <c r="G326" s="97"/>
      <c r="H326" s="97"/>
      <c r="I326" s="97"/>
      <c r="J326" s="97"/>
      <c r="K326" s="97"/>
      <c r="L326" s="97"/>
      <c r="M326" s="97"/>
      <c r="N326" s="97"/>
      <c r="O326" s="97"/>
      <c r="P326" s="97"/>
      <c r="Q326" s="97"/>
    </row>
    <row r="327" spans="1:17" ht="21.25" hidden="1" customHeight="1">
      <c r="G327" s="97"/>
      <c r="H327" s="97"/>
      <c r="I327" s="97"/>
      <c r="J327" s="97"/>
      <c r="K327" s="97"/>
      <c r="L327" s="97"/>
      <c r="M327" s="97"/>
      <c r="N327" s="97"/>
      <c r="O327" s="97"/>
      <c r="P327" s="97"/>
      <c r="Q327" s="97"/>
    </row>
    <row r="328" spans="1:17" ht="21.25" hidden="1" customHeight="1" thickBot="1">
      <c r="A328" s="264" t="s">
        <v>453</v>
      </c>
      <c r="G328" s="97"/>
      <c r="H328" s="97"/>
      <c r="I328" s="97"/>
      <c r="J328" s="97"/>
      <c r="K328" s="97"/>
      <c r="L328" s="97"/>
      <c r="M328" s="97"/>
      <c r="N328" s="97"/>
      <c r="O328" s="97"/>
      <c r="P328" s="97"/>
      <c r="Q328" s="97"/>
    </row>
    <row r="329" spans="1:17" ht="57.25" hidden="1" customHeight="1">
      <c r="A329" s="1569" t="s">
        <v>441</v>
      </c>
      <c r="B329" s="1570"/>
      <c r="C329" s="1570"/>
      <c r="D329" s="1570"/>
      <c r="E329" s="1570"/>
      <c r="F329" s="1571"/>
      <c r="G329" s="296" t="s">
        <v>457</v>
      </c>
      <c r="H329" s="293"/>
      <c r="I329" s="293" t="s">
        <v>461</v>
      </c>
      <c r="J329" s="1572" t="s">
        <v>389</v>
      </c>
      <c r="K329" s="1574"/>
      <c r="L329" s="1574"/>
      <c r="M329" s="1574"/>
      <c r="N329" s="1574"/>
      <c r="O329" s="1574"/>
      <c r="P329" s="1574"/>
      <c r="Q329" s="1574"/>
    </row>
    <row r="330" spans="1:17" ht="15.5" hidden="1">
      <c r="A330" s="201"/>
      <c r="B330" s="184" t="s">
        <v>181</v>
      </c>
      <c r="C330" s="148"/>
      <c r="D330" s="148"/>
      <c r="E330" s="200"/>
      <c r="F330" s="226"/>
      <c r="G330" s="99"/>
      <c r="H330" s="99"/>
      <c r="I330" s="99"/>
      <c r="J330" s="99"/>
      <c r="K330" s="99"/>
      <c r="L330" s="99"/>
      <c r="M330" s="99"/>
      <c r="N330" s="99"/>
      <c r="O330" s="99"/>
      <c r="P330" s="99"/>
      <c r="Q330" s="99"/>
    </row>
    <row r="331" spans="1:17" ht="16" hidden="1" thickBot="1">
      <c r="A331" s="254">
        <v>67</v>
      </c>
      <c r="B331" s="259"/>
      <c r="C331" s="260" t="s">
        <v>329</v>
      </c>
      <c r="D331" s="274"/>
      <c r="E331" s="267" t="s">
        <v>454</v>
      </c>
      <c r="F331" s="275" t="s">
        <v>147</v>
      </c>
      <c r="G331" s="291" t="s">
        <v>460</v>
      </c>
      <c r="H331" s="297"/>
      <c r="I331" s="297" t="s">
        <v>460</v>
      </c>
      <c r="J331" s="1567" t="s">
        <v>459</v>
      </c>
      <c r="K331" s="1568"/>
      <c r="L331" s="1568"/>
      <c r="M331" s="1568"/>
      <c r="N331" s="1568"/>
      <c r="O331" s="1568"/>
      <c r="P331" s="1568"/>
      <c r="Q331" s="1568"/>
    </row>
    <row r="332" spans="1:17" ht="21.25" hidden="1" customHeight="1">
      <c r="G332" s="97"/>
      <c r="H332" s="97"/>
      <c r="I332" s="97"/>
      <c r="J332" s="97"/>
      <c r="K332" s="97"/>
      <c r="L332" s="97"/>
      <c r="M332" s="97"/>
      <c r="N332" s="97"/>
      <c r="O332" s="97"/>
      <c r="P332" s="97"/>
      <c r="Q332" s="97"/>
    </row>
    <row r="333" spans="1:17" ht="21.25" hidden="1" customHeight="1">
      <c r="G333" s="97"/>
      <c r="H333" s="97"/>
      <c r="I333" s="97"/>
      <c r="J333" s="97"/>
      <c r="K333" s="97"/>
      <c r="L333" s="97"/>
      <c r="M333" s="97"/>
      <c r="N333" s="97"/>
      <c r="O333" s="97"/>
      <c r="P333" s="97"/>
      <c r="Q333" s="97"/>
    </row>
    <row r="334" spans="1:17" ht="21.25" hidden="1" customHeight="1" thickBot="1">
      <c r="A334" s="264" t="s">
        <v>528</v>
      </c>
      <c r="G334" s="97"/>
      <c r="H334" s="97"/>
      <c r="I334" s="97"/>
      <c r="J334" s="97"/>
      <c r="K334" s="97"/>
      <c r="L334" s="97"/>
      <c r="M334" s="97"/>
      <c r="N334" s="97"/>
      <c r="O334" s="97"/>
      <c r="P334" s="97"/>
      <c r="Q334" s="97"/>
    </row>
    <row r="335" spans="1:17" ht="35.5" hidden="1" customHeight="1">
      <c r="A335" s="1569" t="s">
        <v>441</v>
      </c>
      <c r="B335" s="1570"/>
      <c r="C335" s="1570"/>
      <c r="D335" s="1570"/>
      <c r="E335" s="1570"/>
      <c r="F335" s="1571"/>
      <c r="G335" s="296" t="s">
        <v>457</v>
      </c>
      <c r="H335" s="293"/>
      <c r="I335" s="293" t="s">
        <v>463</v>
      </c>
      <c r="J335" s="1572" t="s">
        <v>389</v>
      </c>
      <c r="K335" s="1574"/>
      <c r="L335" s="1574"/>
      <c r="M335" s="1574"/>
      <c r="N335" s="1574"/>
      <c r="O335" s="1574"/>
      <c r="P335" s="1574"/>
      <c r="Q335" s="1574"/>
    </row>
    <row r="336" spans="1:17" ht="15.5" hidden="1">
      <c r="A336" s="201"/>
      <c r="B336" s="184" t="s">
        <v>180</v>
      </c>
      <c r="C336" s="138"/>
      <c r="D336" s="148"/>
      <c r="E336" s="156"/>
      <c r="F336" s="198"/>
      <c r="G336" s="99"/>
      <c r="H336" s="99"/>
      <c r="I336" s="99"/>
      <c r="J336" s="99"/>
      <c r="K336" s="99"/>
      <c r="L336" s="99"/>
      <c r="M336" s="99"/>
      <c r="N336" s="99"/>
      <c r="O336" s="99"/>
      <c r="P336" s="99"/>
      <c r="Q336" s="99"/>
    </row>
    <row r="337" spans="1:17" ht="16" hidden="1" thickBot="1">
      <c r="A337" s="276">
        <v>77</v>
      </c>
      <c r="B337" s="265"/>
      <c r="C337" s="266" t="s">
        <v>333</v>
      </c>
      <c r="D337" s="261"/>
      <c r="E337" s="270" t="s">
        <v>335</v>
      </c>
      <c r="F337" s="268" t="s">
        <v>148</v>
      </c>
      <c r="G337" s="291" t="s">
        <v>460</v>
      </c>
      <c r="H337" s="297"/>
      <c r="I337" s="297" t="s">
        <v>460</v>
      </c>
      <c r="J337" s="1567" t="s">
        <v>459</v>
      </c>
      <c r="K337" s="1568"/>
      <c r="L337" s="1568"/>
      <c r="M337" s="1568"/>
      <c r="N337" s="1568"/>
      <c r="O337" s="1568"/>
      <c r="P337" s="1568"/>
      <c r="Q337" s="1568"/>
    </row>
    <row r="338" spans="1:17" ht="21.25" hidden="1" customHeight="1">
      <c r="A338" s="163"/>
      <c r="B338" s="216"/>
      <c r="C338" s="165"/>
      <c r="D338" s="148"/>
      <c r="E338" s="147"/>
      <c r="F338" s="165"/>
      <c r="G338" s="134"/>
      <c r="H338" s="134"/>
      <c r="I338" s="134"/>
      <c r="J338" s="288"/>
      <c r="K338" s="285"/>
      <c r="L338" s="285"/>
      <c r="M338" s="285"/>
      <c r="N338" s="285"/>
      <c r="O338" s="285"/>
      <c r="P338" s="285"/>
      <c r="Q338" s="285"/>
    </row>
    <row r="339" spans="1:17" ht="21.25" hidden="1" customHeight="1">
      <c r="G339" s="97"/>
      <c r="H339" s="97"/>
      <c r="I339" s="97"/>
      <c r="J339" s="97"/>
      <c r="K339" s="97"/>
      <c r="L339" s="97"/>
      <c r="M339" s="97"/>
      <c r="N339" s="97"/>
      <c r="O339" s="97"/>
      <c r="P339" s="97"/>
      <c r="Q339" s="97"/>
    </row>
    <row r="340" spans="1:17" ht="21.25" hidden="1" customHeight="1" thickBot="1">
      <c r="A340" s="264" t="s">
        <v>450</v>
      </c>
      <c r="G340" s="97"/>
      <c r="H340" s="97"/>
      <c r="I340" s="97"/>
      <c r="J340" s="97"/>
      <c r="K340" s="97"/>
      <c r="L340" s="97"/>
      <c r="M340" s="97"/>
      <c r="N340" s="97"/>
      <c r="O340" s="97"/>
      <c r="P340" s="97"/>
      <c r="Q340" s="97"/>
    </row>
    <row r="341" spans="1:17" ht="18" hidden="1">
      <c r="A341" s="1569" t="s">
        <v>441</v>
      </c>
      <c r="B341" s="1570"/>
      <c r="C341" s="1570"/>
      <c r="D341" s="1570"/>
      <c r="E341" s="1570"/>
      <c r="F341" s="1570"/>
      <c r="G341" s="296" t="s">
        <v>467</v>
      </c>
      <c r="H341" s="293"/>
      <c r="I341" s="293" t="s">
        <v>468</v>
      </c>
      <c r="J341" s="293" t="s">
        <v>470</v>
      </c>
      <c r="K341" s="293" t="s">
        <v>471</v>
      </c>
      <c r="L341" s="1572" t="s">
        <v>389</v>
      </c>
      <c r="M341" s="1574"/>
      <c r="N341" s="1574"/>
      <c r="O341" s="1574"/>
      <c r="P341" s="1574"/>
      <c r="Q341" s="1574"/>
    </row>
    <row r="342" spans="1:17" ht="15.5" hidden="1">
      <c r="A342" s="192" t="s">
        <v>154</v>
      </c>
      <c r="B342" s="173" t="s">
        <v>251</v>
      </c>
      <c r="C342" s="84"/>
      <c r="D342" s="84"/>
      <c r="E342" s="156"/>
      <c r="F342" s="154"/>
      <c r="G342" s="284"/>
      <c r="H342" s="99"/>
      <c r="I342" s="99"/>
      <c r="J342" s="99"/>
      <c r="K342" s="99"/>
      <c r="L342" s="99"/>
      <c r="M342" s="99"/>
      <c r="N342" s="99"/>
      <c r="O342" s="99"/>
      <c r="P342" s="99"/>
      <c r="Q342" s="99"/>
    </row>
    <row r="343" spans="1:17" ht="15.5" hidden="1">
      <c r="A343" s="192"/>
      <c r="B343" s="173"/>
      <c r="C343" s="84"/>
      <c r="D343" s="84"/>
      <c r="E343" s="156"/>
      <c r="F343" s="154"/>
      <c r="G343" s="286" t="s">
        <v>464</v>
      </c>
      <c r="H343" s="134"/>
      <c r="I343" s="134" t="s">
        <v>464</v>
      </c>
      <c r="J343" s="134" t="s">
        <v>464</v>
      </c>
      <c r="K343" s="134" t="s">
        <v>464</v>
      </c>
      <c r="L343" s="1565" t="s">
        <v>466</v>
      </c>
      <c r="M343" s="1575"/>
      <c r="N343" s="1575"/>
      <c r="O343" s="1575"/>
      <c r="P343" s="1575"/>
      <c r="Q343" s="1575"/>
    </row>
    <row r="344" spans="1:17" ht="16" hidden="1" thickBot="1">
      <c r="A344" s="276">
        <v>125</v>
      </c>
      <c r="B344" s="255"/>
      <c r="C344" s="277" t="s">
        <v>248</v>
      </c>
      <c r="D344" s="278"/>
      <c r="E344" s="257" t="s">
        <v>298</v>
      </c>
      <c r="F344" s="256" t="s">
        <v>429</v>
      </c>
      <c r="G344" s="291" t="s">
        <v>465</v>
      </c>
      <c r="H344" s="297"/>
      <c r="I344" s="297" t="s">
        <v>465</v>
      </c>
      <c r="J344" s="297" t="s">
        <v>465</v>
      </c>
      <c r="K344" s="297" t="s">
        <v>465</v>
      </c>
      <c r="L344" s="1567" t="s">
        <v>459</v>
      </c>
      <c r="M344" s="1576"/>
      <c r="N344" s="1576"/>
      <c r="O344" s="1576"/>
      <c r="P344" s="1576"/>
      <c r="Q344" s="1576"/>
    </row>
    <row r="345" spans="1:17" ht="21.25" hidden="1" customHeight="1">
      <c r="G345" s="97"/>
      <c r="H345" s="97"/>
      <c r="I345" s="97"/>
      <c r="J345" s="97"/>
      <c r="K345" s="97"/>
      <c r="L345" s="97"/>
      <c r="M345" s="97"/>
      <c r="N345" s="97"/>
      <c r="O345" s="97"/>
      <c r="P345" s="97"/>
      <c r="Q345" s="97"/>
    </row>
    <row r="346" spans="1:17" ht="21.25" hidden="1" customHeight="1">
      <c r="G346" s="97"/>
      <c r="H346" s="97"/>
      <c r="I346" s="97"/>
      <c r="J346" s="97"/>
      <c r="K346" s="97"/>
      <c r="L346" s="97"/>
      <c r="M346" s="97"/>
      <c r="N346" s="97"/>
      <c r="O346" s="97"/>
      <c r="P346" s="97"/>
      <c r="Q346" s="97"/>
    </row>
    <row r="347" spans="1:17" ht="21.25" hidden="1" customHeight="1" thickBot="1">
      <c r="A347" s="264" t="s">
        <v>445</v>
      </c>
      <c r="G347" s="97"/>
      <c r="H347" s="97"/>
      <c r="I347" s="97"/>
      <c r="J347" s="97"/>
      <c r="K347" s="97"/>
      <c r="L347" s="97"/>
      <c r="M347" s="97"/>
      <c r="N347" s="97"/>
      <c r="O347" s="97"/>
      <c r="P347" s="97"/>
      <c r="Q347" s="97"/>
    </row>
    <row r="348" spans="1:17" ht="34.5" hidden="1" customHeight="1">
      <c r="A348" s="1569" t="s">
        <v>441</v>
      </c>
      <c r="B348" s="1570"/>
      <c r="C348" s="1570"/>
      <c r="D348" s="1570"/>
      <c r="E348" s="1570"/>
      <c r="F348" s="1571"/>
      <c r="G348" s="296" t="s">
        <v>457</v>
      </c>
      <c r="H348" s="293"/>
      <c r="I348" s="293" t="s">
        <v>472</v>
      </c>
      <c r="J348" s="1572" t="s">
        <v>389</v>
      </c>
      <c r="K348" s="1574"/>
      <c r="L348" s="1574"/>
      <c r="M348" s="1574"/>
      <c r="N348" s="1574"/>
      <c r="O348" s="1574"/>
      <c r="P348" s="1574"/>
      <c r="Q348" s="1574"/>
    </row>
    <row r="349" spans="1:17" ht="15.5" hidden="1">
      <c r="A349" s="201"/>
      <c r="B349" s="184" t="s">
        <v>180</v>
      </c>
      <c r="C349" s="138"/>
      <c r="D349" s="148"/>
      <c r="E349" s="156"/>
      <c r="F349" s="198"/>
      <c r="G349" s="99"/>
      <c r="H349" s="99"/>
      <c r="I349" s="99"/>
      <c r="J349" s="99"/>
      <c r="K349" s="99"/>
      <c r="L349" s="99"/>
      <c r="M349" s="99"/>
      <c r="N349" s="99"/>
      <c r="O349" s="99"/>
      <c r="P349" s="99"/>
      <c r="Q349" s="99"/>
    </row>
    <row r="350" spans="1:17" ht="16" hidden="1" thickBot="1">
      <c r="A350" s="276">
        <v>74</v>
      </c>
      <c r="B350" s="265"/>
      <c r="C350" s="266" t="s">
        <v>333</v>
      </c>
      <c r="D350" s="279"/>
      <c r="E350" s="270" t="s">
        <v>131</v>
      </c>
      <c r="F350" s="268" t="s">
        <v>148</v>
      </c>
      <c r="G350" s="291" t="s">
        <v>460</v>
      </c>
      <c r="H350" s="297"/>
      <c r="I350" s="297" t="s">
        <v>460</v>
      </c>
      <c r="J350" s="1567" t="s">
        <v>459</v>
      </c>
      <c r="K350" s="1568"/>
      <c r="L350" s="1568"/>
      <c r="M350" s="1568"/>
      <c r="N350" s="1568"/>
      <c r="O350" s="1568"/>
      <c r="P350" s="1568"/>
      <c r="Q350" s="1568"/>
    </row>
    <row r="351" spans="1:17" ht="21.25" hidden="1" customHeight="1">
      <c r="G351" s="97"/>
      <c r="H351" s="97"/>
      <c r="I351" s="97"/>
      <c r="J351" s="97"/>
      <c r="K351" s="97"/>
      <c r="L351" s="97"/>
      <c r="M351" s="97"/>
      <c r="N351" s="97"/>
      <c r="O351" s="97"/>
      <c r="P351" s="97"/>
      <c r="Q351" s="97"/>
    </row>
    <row r="352" spans="1:17" ht="21.25" hidden="1" customHeight="1">
      <c r="G352" s="97"/>
      <c r="H352" s="97"/>
      <c r="I352" s="97"/>
      <c r="J352" s="97"/>
      <c r="K352" s="97"/>
      <c r="L352" s="97"/>
      <c r="M352" s="97"/>
      <c r="N352" s="97"/>
      <c r="O352" s="97"/>
      <c r="P352" s="97"/>
      <c r="Q352" s="97"/>
    </row>
    <row r="353" spans="1:17" ht="21.25" hidden="1" customHeight="1" thickBot="1">
      <c r="A353" s="264" t="s">
        <v>446</v>
      </c>
      <c r="G353" s="97"/>
      <c r="H353" s="97"/>
      <c r="I353" s="97"/>
      <c r="J353" s="97"/>
      <c r="K353" s="97"/>
      <c r="L353" s="97"/>
      <c r="M353" s="97"/>
      <c r="N353" s="97"/>
      <c r="O353" s="97"/>
      <c r="P353" s="97"/>
      <c r="Q353" s="97"/>
    </row>
    <row r="354" spans="1:17" ht="71.5" hidden="1" customHeight="1">
      <c r="A354" s="1569" t="s">
        <v>441</v>
      </c>
      <c r="B354" s="1570"/>
      <c r="C354" s="1570"/>
      <c r="D354" s="1570"/>
      <c r="E354" s="1570"/>
      <c r="F354" s="1571"/>
      <c r="G354" s="296" t="str">
        <f>+C356</f>
        <v>Excluded Transmission Facilities</v>
      </c>
      <c r="H354" s="293"/>
      <c r="I354" s="1572" t="s">
        <v>475</v>
      </c>
      <c r="J354" s="1573"/>
      <c r="K354" s="1573"/>
      <c r="L354" s="1573"/>
      <c r="M354" s="1573"/>
      <c r="N354" s="1573"/>
      <c r="O354" s="1573"/>
      <c r="P354" s="1573"/>
      <c r="Q354" s="1573"/>
    </row>
    <row r="355" spans="1:17" ht="18" hidden="1">
      <c r="A355" s="235"/>
      <c r="B355" s="178" t="s">
        <v>183</v>
      </c>
      <c r="C355" s="179"/>
      <c r="D355" s="180"/>
      <c r="E355" s="181"/>
      <c r="F355" s="236"/>
      <c r="G355" s="284"/>
      <c r="H355" s="99"/>
      <c r="I355" s="99"/>
      <c r="J355" s="99"/>
      <c r="K355" s="99"/>
      <c r="L355" s="99"/>
      <c r="M355" s="99"/>
      <c r="N355" s="99"/>
      <c r="O355" s="99"/>
      <c r="P355" s="99"/>
      <c r="Q355" s="99"/>
    </row>
    <row r="356" spans="1:17" ht="18" hidden="1">
      <c r="A356" s="201">
        <v>145</v>
      </c>
      <c r="B356" s="182"/>
      <c r="C356" s="159" t="s">
        <v>184</v>
      </c>
      <c r="D356" s="180"/>
      <c r="E356" s="161" t="s">
        <v>291</v>
      </c>
      <c r="F356" s="202" t="s">
        <v>193</v>
      </c>
      <c r="G356" s="287" t="s">
        <v>476</v>
      </c>
      <c r="H356" s="312"/>
      <c r="I356" s="1565" t="s">
        <v>478</v>
      </c>
      <c r="J356" s="1566"/>
      <c r="K356" s="1566"/>
      <c r="L356" s="1566"/>
      <c r="M356" s="1566"/>
      <c r="N356" s="1566"/>
      <c r="O356" s="1566"/>
      <c r="P356" s="1566"/>
      <c r="Q356" s="1566"/>
    </row>
    <row r="357" spans="1:17" ht="18" hidden="1">
      <c r="A357" s="201"/>
      <c r="B357" s="182"/>
      <c r="C357" s="159"/>
      <c r="D357" s="180"/>
      <c r="E357" s="161"/>
      <c r="F357" s="202"/>
      <c r="G357" s="284"/>
      <c r="H357" s="99"/>
      <c r="I357" s="99"/>
      <c r="J357" s="99"/>
      <c r="K357" s="99"/>
      <c r="L357" s="99"/>
      <c r="M357" s="99"/>
      <c r="N357" s="99"/>
      <c r="O357" s="99"/>
      <c r="P357" s="134"/>
      <c r="Q357" s="99"/>
    </row>
    <row r="358" spans="1:17" ht="18" hidden="1" customHeight="1">
      <c r="A358" s="201"/>
      <c r="B358" s="182"/>
      <c r="C358" s="159"/>
      <c r="D358" s="180"/>
      <c r="E358" s="161"/>
      <c r="F358" s="202"/>
      <c r="G358" s="286" t="s">
        <v>474</v>
      </c>
      <c r="H358" s="134"/>
      <c r="I358" s="1565" t="s">
        <v>479</v>
      </c>
      <c r="J358" s="1566"/>
      <c r="K358" s="1566"/>
      <c r="L358" s="1566"/>
      <c r="M358" s="1566"/>
      <c r="N358" s="1566"/>
      <c r="O358" s="1566"/>
      <c r="P358" s="1566"/>
      <c r="Q358" s="1566"/>
    </row>
    <row r="359" spans="1:17" ht="18" hidden="1" customHeight="1">
      <c r="A359" s="201"/>
      <c r="B359" s="182"/>
      <c r="C359" s="159"/>
      <c r="D359" s="180"/>
      <c r="E359" s="161"/>
      <c r="F359" s="202"/>
      <c r="G359" s="286" t="s">
        <v>474</v>
      </c>
      <c r="H359" s="134"/>
      <c r="I359" s="1565" t="s">
        <v>479</v>
      </c>
      <c r="J359" s="1566"/>
      <c r="K359" s="1566"/>
      <c r="L359" s="1566"/>
      <c r="M359" s="1566"/>
      <c r="N359" s="1566"/>
      <c r="O359" s="1566"/>
      <c r="P359" s="1566"/>
      <c r="Q359" s="1566"/>
    </row>
    <row r="360" spans="1:17" ht="18" hidden="1" customHeight="1">
      <c r="A360" s="201"/>
      <c r="B360" s="182"/>
      <c r="C360" s="159"/>
      <c r="D360" s="180"/>
      <c r="E360" s="161"/>
      <c r="F360" s="202"/>
      <c r="G360" s="286" t="s">
        <v>474</v>
      </c>
      <c r="H360" s="134"/>
      <c r="I360" s="1565" t="s">
        <v>479</v>
      </c>
      <c r="J360" s="1566"/>
      <c r="K360" s="1566"/>
      <c r="L360" s="1566"/>
      <c r="M360" s="1566"/>
      <c r="N360" s="1566"/>
      <c r="O360" s="1566"/>
      <c r="P360" s="1566"/>
      <c r="Q360" s="1566"/>
    </row>
    <row r="361" spans="1:17" ht="18" hidden="1" customHeight="1">
      <c r="A361" s="201"/>
      <c r="B361" s="182"/>
      <c r="C361" s="159"/>
      <c r="D361" s="180"/>
      <c r="E361" s="161"/>
      <c r="F361" s="202"/>
      <c r="G361" s="286" t="s">
        <v>474</v>
      </c>
      <c r="H361" s="134"/>
      <c r="I361" s="1565" t="s">
        <v>479</v>
      </c>
      <c r="J361" s="1566"/>
      <c r="K361" s="1566"/>
      <c r="L361" s="1566"/>
      <c r="M361" s="1566"/>
      <c r="N361" s="1566"/>
      <c r="O361" s="1566"/>
      <c r="P361" s="1566"/>
      <c r="Q361" s="1566"/>
    </row>
    <row r="362" spans="1:17" ht="18" hidden="1" customHeight="1">
      <c r="A362" s="115"/>
      <c r="B362" s="116"/>
      <c r="C362" s="116"/>
      <c r="D362" s="116"/>
      <c r="E362" s="116"/>
      <c r="F362" s="117"/>
      <c r="G362" s="286" t="s">
        <v>474</v>
      </c>
      <c r="H362" s="134"/>
      <c r="I362" s="1565" t="s">
        <v>479</v>
      </c>
      <c r="J362" s="1566"/>
      <c r="K362" s="1566"/>
      <c r="L362" s="1566"/>
      <c r="M362" s="1566"/>
      <c r="N362" s="1566"/>
      <c r="O362" s="1566"/>
      <c r="P362" s="1566"/>
      <c r="Q362" s="1566"/>
    </row>
    <row r="363" spans="1:17" ht="18" hidden="1" customHeight="1">
      <c r="A363" s="115"/>
      <c r="B363" s="116"/>
      <c r="C363" s="116"/>
      <c r="D363" s="116"/>
      <c r="E363" s="116"/>
      <c r="F363" s="117"/>
      <c r="G363" s="286" t="s">
        <v>474</v>
      </c>
      <c r="H363" s="134"/>
      <c r="I363" s="1565" t="s">
        <v>479</v>
      </c>
      <c r="J363" s="1566"/>
      <c r="K363" s="1566"/>
      <c r="L363" s="1566"/>
      <c r="M363" s="1566"/>
      <c r="N363" s="1566"/>
      <c r="O363" s="1566"/>
      <c r="P363" s="1566"/>
      <c r="Q363" s="1566"/>
    </row>
    <row r="364" spans="1:17" ht="18" hidden="1" customHeight="1">
      <c r="A364" s="115"/>
      <c r="B364" s="116"/>
      <c r="C364" s="116"/>
      <c r="D364" s="116"/>
      <c r="E364" s="116"/>
      <c r="F364" s="117"/>
      <c r="G364" s="286" t="s">
        <v>474</v>
      </c>
      <c r="H364" s="134"/>
      <c r="I364" s="1565" t="s">
        <v>479</v>
      </c>
      <c r="J364" s="1566"/>
      <c r="K364" s="1566"/>
      <c r="L364" s="1566"/>
      <c r="M364" s="1566"/>
      <c r="N364" s="1566"/>
      <c r="O364" s="1566"/>
      <c r="P364" s="1566"/>
      <c r="Q364" s="1566"/>
    </row>
    <row r="365" spans="1:17" ht="18" hidden="1" customHeight="1">
      <c r="A365" s="115"/>
      <c r="B365" s="116"/>
      <c r="C365" s="116"/>
      <c r="D365" s="116"/>
      <c r="E365" s="116"/>
      <c r="F365" s="117"/>
      <c r="G365" s="286" t="s">
        <v>474</v>
      </c>
      <c r="H365" s="134"/>
      <c r="I365" s="1565" t="s">
        <v>479</v>
      </c>
      <c r="J365" s="1566"/>
      <c r="K365" s="1566"/>
      <c r="L365" s="1566"/>
      <c r="M365" s="1566"/>
      <c r="N365" s="1566"/>
      <c r="O365" s="1566"/>
      <c r="P365" s="1566"/>
      <c r="Q365" s="1566"/>
    </row>
    <row r="366" spans="1:17" ht="18" hidden="1" customHeight="1">
      <c r="A366" s="115"/>
      <c r="B366" s="116"/>
      <c r="C366" s="116"/>
      <c r="D366" s="116"/>
      <c r="E366" s="116"/>
      <c r="F366" s="117"/>
      <c r="G366" s="286" t="s">
        <v>474</v>
      </c>
      <c r="H366" s="134"/>
      <c r="I366" s="1565" t="s">
        <v>479</v>
      </c>
      <c r="J366" s="1566"/>
      <c r="K366" s="1566"/>
      <c r="L366" s="1566"/>
      <c r="M366" s="1566"/>
      <c r="N366" s="1566"/>
      <c r="O366" s="1566"/>
      <c r="P366" s="1566"/>
      <c r="Q366" s="1566"/>
    </row>
    <row r="367" spans="1:17" ht="18" hidden="1" customHeight="1">
      <c r="A367" s="115"/>
      <c r="B367" s="116"/>
      <c r="C367" s="116"/>
      <c r="D367" s="116"/>
      <c r="E367" s="116"/>
      <c r="F367" s="117"/>
      <c r="G367" s="286" t="s">
        <v>474</v>
      </c>
      <c r="H367" s="134"/>
      <c r="I367" s="1565" t="s">
        <v>479</v>
      </c>
      <c r="J367" s="1566"/>
      <c r="K367" s="1566"/>
      <c r="L367" s="1566"/>
      <c r="M367" s="1566"/>
      <c r="N367" s="1566"/>
      <c r="O367" s="1566"/>
      <c r="P367" s="1566"/>
      <c r="Q367" s="1566"/>
    </row>
    <row r="368" spans="1:17" ht="18" hidden="1" customHeight="1" thickBot="1">
      <c r="A368" s="118"/>
      <c r="B368" s="119"/>
      <c r="C368" s="119"/>
      <c r="D368" s="119"/>
      <c r="E368" s="119"/>
      <c r="F368" s="120"/>
      <c r="G368" s="289"/>
      <c r="H368" s="283"/>
      <c r="I368" s="283"/>
      <c r="J368" s="283"/>
      <c r="K368" s="298" t="s">
        <v>477</v>
      </c>
      <c r="L368" s="283"/>
      <c r="M368" s="283"/>
      <c r="N368" s="283"/>
      <c r="O368" s="283"/>
      <c r="P368" s="283"/>
      <c r="Q368" s="283"/>
    </row>
    <row r="369" spans="1:17" ht="21.25" hidden="1" customHeight="1">
      <c r="A369" s="116"/>
      <c r="B369" s="116"/>
      <c r="C369" s="116"/>
      <c r="D369" s="116"/>
      <c r="E369" s="116"/>
      <c r="F369" s="116"/>
      <c r="G369" s="99"/>
      <c r="H369" s="99"/>
      <c r="I369" s="99"/>
      <c r="J369" s="99"/>
      <c r="K369" s="100"/>
      <c r="L369" s="99"/>
      <c r="M369" s="99"/>
      <c r="N369" s="99"/>
      <c r="O369" s="99"/>
      <c r="P369" s="99"/>
      <c r="Q369" s="99"/>
    </row>
    <row r="370" spans="1:17" ht="21.25" hidden="1" customHeight="1">
      <c r="A370" s="116"/>
      <c r="B370" s="116"/>
      <c r="C370" s="116"/>
      <c r="D370" s="116"/>
      <c r="E370" s="116"/>
      <c r="F370" s="116"/>
      <c r="G370" s="99"/>
      <c r="H370" s="99"/>
      <c r="I370" s="99"/>
      <c r="J370" s="99"/>
      <c r="K370" s="100"/>
      <c r="L370" s="99"/>
      <c r="M370" s="99"/>
      <c r="N370" s="99"/>
      <c r="O370" s="99"/>
      <c r="P370" s="99"/>
      <c r="Q370" s="99"/>
    </row>
    <row r="371" spans="1:17" ht="21.25" hidden="1" customHeight="1" thickBot="1">
      <c r="A371" s="264" t="s">
        <v>444</v>
      </c>
      <c r="G371" s="97"/>
      <c r="H371" s="97"/>
      <c r="I371" s="97"/>
      <c r="J371" s="97"/>
      <c r="K371" s="97"/>
      <c r="L371" s="97"/>
      <c r="M371" s="97"/>
      <c r="N371" s="97"/>
      <c r="O371" s="97"/>
      <c r="P371" s="97"/>
      <c r="Q371" s="97"/>
    </row>
    <row r="372" spans="1:17" ht="51.75" hidden="1" customHeight="1">
      <c r="A372" s="1569" t="s">
        <v>441</v>
      </c>
      <c r="B372" s="1570"/>
      <c r="C372" s="1570"/>
      <c r="D372" s="1570"/>
      <c r="E372" s="1570"/>
      <c r="F372" s="1571"/>
      <c r="G372" s="296" t="str">
        <f>+C374</f>
        <v>Outstanding Network Credits</v>
      </c>
      <c r="H372" s="293"/>
      <c r="I372" s="1572" t="s">
        <v>482</v>
      </c>
      <c r="J372" s="1573"/>
      <c r="K372" s="1573"/>
      <c r="L372" s="1573"/>
      <c r="M372" s="1573"/>
      <c r="N372" s="1573"/>
      <c r="O372" s="1573"/>
      <c r="P372" s="1573"/>
      <c r="Q372" s="1573"/>
    </row>
    <row r="373" spans="1:17" ht="15.5" hidden="1">
      <c r="A373" s="222"/>
      <c r="B373" s="157" t="s">
        <v>431</v>
      </c>
      <c r="C373" s="223"/>
      <c r="D373" s="164"/>
      <c r="E373" s="224"/>
      <c r="F373" s="191"/>
      <c r="G373" s="284"/>
      <c r="H373" s="99"/>
      <c r="I373" s="99"/>
      <c r="J373" s="99"/>
      <c r="K373" s="99"/>
      <c r="L373" s="99"/>
      <c r="M373" s="99"/>
      <c r="N373" s="99"/>
      <c r="O373" s="99"/>
      <c r="P373" s="99"/>
      <c r="Q373" s="99"/>
    </row>
    <row r="374" spans="1:17" ht="15.5" hidden="1">
      <c r="A374" s="201">
        <f>+A94</f>
        <v>55</v>
      </c>
      <c r="B374" s="182"/>
      <c r="C374" s="182" t="str">
        <f>+C94</f>
        <v>Outstanding Network Credits</v>
      </c>
      <c r="D374" s="182"/>
      <c r="E374" s="230" t="str">
        <f>+E94</f>
        <v>(Note N)</v>
      </c>
      <c r="F374" s="280" t="str">
        <f>+F94</f>
        <v>From PJM</v>
      </c>
      <c r="G374" s="287" t="s">
        <v>476</v>
      </c>
      <c r="H374" s="312"/>
      <c r="I374" s="1565" t="s">
        <v>480</v>
      </c>
      <c r="J374" s="1566"/>
      <c r="K374" s="1566"/>
      <c r="L374" s="1566"/>
      <c r="M374" s="1566"/>
      <c r="N374" s="1566"/>
      <c r="O374" s="1566"/>
      <c r="P374" s="1566"/>
      <c r="Q374" s="1566"/>
    </row>
    <row r="375" spans="1:17" ht="15.5" hidden="1">
      <c r="A375" s="201"/>
      <c r="B375" s="182"/>
      <c r="C375" s="182"/>
      <c r="D375" s="182"/>
      <c r="E375" s="230"/>
      <c r="F375" s="280"/>
      <c r="G375" s="284"/>
      <c r="H375" s="99"/>
      <c r="I375" s="99"/>
      <c r="J375" s="99"/>
      <c r="K375" s="99"/>
      <c r="L375" s="99"/>
      <c r="M375" s="99"/>
      <c r="N375" s="99"/>
      <c r="O375" s="99"/>
      <c r="P375" s="134"/>
      <c r="Q375" s="99"/>
    </row>
    <row r="376" spans="1:17" ht="15.5" hidden="1">
      <c r="A376" s="201"/>
      <c r="B376" s="182"/>
      <c r="C376" s="182"/>
      <c r="D376" s="182"/>
      <c r="E376" s="230"/>
      <c r="F376" s="280"/>
      <c r="G376" s="286" t="s">
        <v>474</v>
      </c>
      <c r="H376" s="134"/>
      <c r="I376" s="1565" t="s">
        <v>481</v>
      </c>
      <c r="J376" s="1566"/>
      <c r="K376" s="1566"/>
      <c r="L376" s="1566"/>
      <c r="M376" s="1566"/>
      <c r="N376" s="1566"/>
      <c r="O376" s="1566"/>
      <c r="P376" s="1566"/>
      <c r="Q376" s="1566"/>
    </row>
    <row r="377" spans="1:17" ht="15.75" hidden="1" customHeight="1">
      <c r="A377" s="201"/>
      <c r="B377" s="182"/>
      <c r="C377" s="182"/>
      <c r="D377" s="182"/>
      <c r="E377" s="230"/>
      <c r="F377" s="280"/>
      <c r="G377" s="286" t="s">
        <v>474</v>
      </c>
      <c r="H377" s="134"/>
      <c r="I377" s="1565" t="s">
        <v>481</v>
      </c>
      <c r="J377" s="1566"/>
      <c r="K377" s="1566"/>
      <c r="L377" s="1566"/>
      <c r="M377" s="1566"/>
      <c r="N377" s="1566"/>
      <c r="O377" s="1566"/>
      <c r="P377" s="1566"/>
      <c r="Q377" s="1566"/>
    </row>
    <row r="378" spans="1:17" ht="15.75" hidden="1" customHeight="1">
      <c r="A378" s="201"/>
      <c r="B378" s="182"/>
      <c r="C378" s="182"/>
      <c r="D378" s="182"/>
      <c r="E378" s="230"/>
      <c r="F378" s="280"/>
      <c r="G378" s="286" t="s">
        <v>474</v>
      </c>
      <c r="H378" s="134"/>
      <c r="I378" s="1565" t="s">
        <v>481</v>
      </c>
      <c r="J378" s="1566"/>
      <c r="K378" s="1566"/>
      <c r="L378" s="1566"/>
      <c r="M378" s="1566"/>
      <c r="N378" s="1566"/>
      <c r="O378" s="1566"/>
      <c r="P378" s="1566"/>
      <c r="Q378" s="1566"/>
    </row>
    <row r="379" spans="1:17" ht="15.75" hidden="1" customHeight="1">
      <c r="A379" s="201"/>
      <c r="B379" s="182"/>
      <c r="C379" s="182"/>
      <c r="D379" s="182"/>
      <c r="E379" s="230"/>
      <c r="F379" s="280"/>
      <c r="G379" s="286" t="s">
        <v>474</v>
      </c>
      <c r="H379" s="134"/>
      <c r="I379" s="1565" t="s">
        <v>481</v>
      </c>
      <c r="J379" s="1566"/>
      <c r="K379" s="1566"/>
      <c r="L379" s="1566"/>
      <c r="M379" s="1566"/>
      <c r="N379" s="1566"/>
      <c r="O379" s="1566"/>
      <c r="P379" s="1566"/>
      <c r="Q379" s="1566"/>
    </row>
    <row r="380" spans="1:17" ht="15.75" hidden="1" customHeight="1">
      <c r="A380" s="201"/>
      <c r="B380" s="182"/>
      <c r="C380" s="182"/>
      <c r="D380" s="182"/>
      <c r="E380" s="230"/>
      <c r="F380" s="280"/>
      <c r="G380" s="286" t="s">
        <v>474</v>
      </c>
      <c r="H380" s="134"/>
      <c r="I380" s="1565" t="s">
        <v>481</v>
      </c>
      <c r="J380" s="1566"/>
      <c r="K380" s="1566"/>
      <c r="L380" s="1566"/>
      <c r="M380" s="1566"/>
      <c r="N380" s="1566"/>
      <c r="O380" s="1566"/>
      <c r="P380" s="1566"/>
      <c r="Q380" s="1566"/>
    </row>
    <row r="381" spans="1:17" ht="15.75" hidden="1" customHeight="1">
      <c r="A381" s="201"/>
      <c r="B381" s="182"/>
      <c r="C381" s="182"/>
      <c r="D381" s="182"/>
      <c r="E381" s="230"/>
      <c r="F381" s="280"/>
      <c r="G381" s="286" t="s">
        <v>474</v>
      </c>
      <c r="H381" s="134"/>
      <c r="I381" s="1565" t="s">
        <v>481</v>
      </c>
      <c r="J381" s="1566"/>
      <c r="K381" s="1566"/>
      <c r="L381" s="1566"/>
      <c r="M381" s="1566"/>
      <c r="N381" s="1566"/>
      <c r="O381" s="1566"/>
      <c r="P381" s="1566"/>
      <c r="Q381" s="1566"/>
    </row>
    <row r="382" spans="1:17" ht="15.75" hidden="1" customHeight="1">
      <c r="A382" s="201"/>
      <c r="B382" s="182"/>
      <c r="C382" s="182"/>
      <c r="D382" s="182"/>
      <c r="E382" s="230"/>
      <c r="F382" s="280"/>
      <c r="G382" s="286" t="s">
        <v>474</v>
      </c>
      <c r="H382" s="134"/>
      <c r="I382" s="1565" t="s">
        <v>481</v>
      </c>
      <c r="J382" s="1566"/>
      <c r="K382" s="1566"/>
      <c r="L382" s="1566"/>
      <c r="M382" s="1566"/>
      <c r="N382" s="1566"/>
      <c r="O382" s="1566"/>
      <c r="P382" s="1566"/>
      <c r="Q382" s="1566"/>
    </row>
    <row r="383" spans="1:17" ht="16" hidden="1" thickBot="1">
      <c r="A383" s="254"/>
      <c r="B383" s="259"/>
      <c r="C383" s="259"/>
      <c r="D383" s="259"/>
      <c r="E383" s="267"/>
      <c r="F383" s="281"/>
      <c r="G383" s="289"/>
      <c r="H383" s="283"/>
      <c r="I383" s="283"/>
      <c r="J383" s="283"/>
      <c r="K383" s="298" t="s">
        <v>477</v>
      </c>
      <c r="L383" s="283"/>
      <c r="M383" s="283"/>
      <c r="N383" s="283"/>
      <c r="O383" s="283"/>
      <c r="P383" s="283"/>
      <c r="Q383" s="283"/>
    </row>
    <row r="384" spans="1:17" ht="21.25" hidden="1" customHeight="1">
      <c r="A384" s="182"/>
      <c r="B384" s="182"/>
      <c r="C384" s="182"/>
      <c r="D384" s="182"/>
      <c r="E384" s="230"/>
      <c r="F384" s="182"/>
      <c r="G384" s="99"/>
      <c r="H384" s="99"/>
      <c r="I384" s="99"/>
      <c r="J384" s="99"/>
      <c r="K384" s="100"/>
      <c r="L384" s="99"/>
      <c r="M384" s="99"/>
      <c r="N384" s="99"/>
      <c r="O384" s="99"/>
      <c r="P384" s="99"/>
      <c r="Q384" s="99"/>
    </row>
    <row r="385" spans="1:17" ht="21.25" hidden="1" customHeight="1">
      <c r="A385" s="182"/>
      <c r="B385" s="182"/>
      <c r="C385" s="182"/>
      <c r="D385" s="182"/>
      <c r="E385" s="230"/>
      <c r="F385" s="182"/>
      <c r="G385" s="99"/>
      <c r="H385" s="99"/>
      <c r="I385" s="99"/>
      <c r="J385" s="99"/>
      <c r="K385" s="100"/>
      <c r="L385" s="99"/>
      <c r="M385" s="99"/>
      <c r="N385" s="99"/>
      <c r="O385" s="99"/>
      <c r="P385" s="99"/>
      <c r="Q385" s="99"/>
    </row>
    <row r="386" spans="1:17" ht="21.25" hidden="1" customHeight="1">
      <c r="A386" s="182"/>
      <c r="B386" s="182"/>
      <c r="C386" s="182"/>
      <c r="D386" s="182"/>
      <c r="E386" s="230"/>
      <c r="F386" s="182"/>
      <c r="G386" s="99"/>
      <c r="H386" s="99"/>
      <c r="I386" s="99"/>
      <c r="J386" s="99"/>
      <c r="K386" s="100"/>
      <c r="L386" s="99"/>
      <c r="M386" s="99"/>
      <c r="N386" s="99"/>
      <c r="O386" s="99"/>
      <c r="P386" s="99"/>
      <c r="Q386" s="99"/>
    </row>
    <row r="387" spans="1:17" ht="21.25" hidden="1" customHeight="1" thickBot="1">
      <c r="A387" s="264" t="s">
        <v>484</v>
      </c>
      <c r="G387" s="97"/>
      <c r="H387" s="97"/>
      <c r="I387" s="97"/>
      <c r="J387" s="97"/>
      <c r="K387" s="97"/>
      <c r="L387" s="97"/>
      <c r="M387" s="97"/>
      <c r="N387" s="97"/>
      <c r="O387" s="97"/>
      <c r="P387" s="97"/>
      <c r="Q387" s="97"/>
    </row>
    <row r="388" spans="1:17" ht="50.25" hidden="1" customHeight="1">
      <c r="A388" s="1569" t="s">
        <v>441</v>
      </c>
      <c r="B388" s="1570"/>
      <c r="C388" s="1570"/>
      <c r="D388" s="1570"/>
      <c r="E388" s="1570"/>
      <c r="F388" s="1571"/>
      <c r="G388" s="296" t="str">
        <f>+C390</f>
        <v>Interest on Network Credits</v>
      </c>
      <c r="H388" s="293"/>
      <c r="I388" s="1572" t="s">
        <v>485</v>
      </c>
      <c r="J388" s="1573"/>
      <c r="K388" s="1573"/>
      <c r="L388" s="1573"/>
      <c r="M388" s="1573"/>
      <c r="N388" s="1573"/>
      <c r="O388" s="1573"/>
      <c r="P388" s="1573"/>
      <c r="Q388" s="1573"/>
    </row>
    <row r="389" spans="1:17" ht="21.25" hidden="1" customHeight="1">
      <c r="A389" s="201"/>
      <c r="B389" s="157" t="str">
        <f>+B245</f>
        <v>Revenue Credits &amp; Interest on Network Credits</v>
      </c>
      <c r="C389" s="182"/>
      <c r="D389" s="182"/>
      <c r="E389" s="182"/>
      <c r="F389" s="280"/>
      <c r="G389" s="284"/>
      <c r="H389" s="99"/>
      <c r="I389" s="99"/>
      <c r="J389" s="99"/>
      <c r="K389" s="99"/>
      <c r="L389" s="99"/>
      <c r="M389" s="99"/>
      <c r="N389" s="99"/>
      <c r="O389" s="99"/>
      <c r="P389" s="99"/>
      <c r="Q389" s="99"/>
    </row>
    <row r="390" spans="1:17" ht="21.25" hidden="1" customHeight="1">
      <c r="A390" s="201">
        <f>+A247</f>
        <v>154</v>
      </c>
      <c r="B390" s="182"/>
      <c r="C390" s="182" t="str">
        <f>+C247</f>
        <v>Interest on Network Credits</v>
      </c>
      <c r="D390" s="182"/>
      <c r="E390" s="230" t="str">
        <f>+E247</f>
        <v>(Note N)</v>
      </c>
      <c r="F390" s="280" t="str">
        <f>+F247</f>
        <v>PJM Data</v>
      </c>
      <c r="G390" s="287" t="s">
        <v>476</v>
      </c>
      <c r="H390" s="312"/>
      <c r="I390" s="1565" t="s">
        <v>480</v>
      </c>
      <c r="J390" s="1566"/>
      <c r="K390" s="1566"/>
      <c r="L390" s="1566"/>
      <c r="M390" s="1566"/>
      <c r="N390" s="1566"/>
      <c r="O390" s="1566"/>
      <c r="P390" s="1566"/>
      <c r="Q390" s="1566"/>
    </row>
    <row r="391" spans="1:17" ht="21.25" hidden="1" customHeight="1">
      <c r="A391" s="201"/>
      <c r="B391" s="182"/>
      <c r="C391" s="182"/>
      <c r="D391" s="182"/>
      <c r="E391" s="230"/>
      <c r="F391" s="280"/>
      <c r="G391" s="284"/>
      <c r="H391" s="99"/>
      <c r="I391" s="99"/>
      <c r="J391" s="99"/>
      <c r="K391" s="99"/>
      <c r="L391" s="99"/>
      <c r="M391" s="99"/>
      <c r="N391" s="99"/>
      <c r="O391" s="99"/>
      <c r="P391" s="134"/>
      <c r="Q391" s="99"/>
    </row>
    <row r="392" spans="1:17" ht="21.25" hidden="1" customHeight="1">
      <c r="A392" s="201"/>
      <c r="B392" s="182"/>
      <c r="C392" s="182"/>
      <c r="D392" s="182"/>
      <c r="E392" s="230"/>
      <c r="F392" s="280"/>
      <c r="G392" s="286" t="s">
        <v>474</v>
      </c>
      <c r="H392" s="134"/>
      <c r="I392" s="1565" t="s">
        <v>486</v>
      </c>
      <c r="J392" s="1566"/>
      <c r="K392" s="1566"/>
      <c r="L392" s="1566"/>
      <c r="M392" s="1566"/>
      <c r="N392" s="1566"/>
      <c r="O392" s="1566"/>
      <c r="P392" s="1566"/>
      <c r="Q392" s="1566"/>
    </row>
    <row r="393" spans="1:17" ht="21.25" hidden="1" customHeight="1">
      <c r="A393" s="201"/>
      <c r="B393" s="182"/>
      <c r="C393" s="182"/>
      <c r="D393" s="182"/>
      <c r="E393" s="230"/>
      <c r="F393" s="280"/>
      <c r="G393" s="286" t="s">
        <v>474</v>
      </c>
      <c r="H393" s="134"/>
      <c r="I393" s="1565" t="s">
        <v>486</v>
      </c>
      <c r="J393" s="1566"/>
      <c r="K393" s="1566"/>
      <c r="L393" s="1566"/>
      <c r="M393" s="1566"/>
      <c r="N393" s="1566"/>
      <c r="O393" s="1566"/>
      <c r="P393" s="1566"/>
      <c r="Q393" s="1566"/>
    </row>
    <row r="394" spans="1:17" ht="21.25" hidden="1" customHeight="1">
      <c r="A394" s="201"/>
      <c r="B394" s="182"/>
      <c r="C394" s="182"/>
      <c r="D394" s="182"/>
      <c r="E394" s="230"/>
      <c r="F394" s="280"/>
      <c r="G394" s="286" t="s">
        <v>474</v>
      </c>
      <c r="H394" s="134"/>
      <c r="I394" s="1565" t="s">
        <v>486</v>
      </c>
      <c r="J394" s="1566"/>
      <c r="K394" s="1566"/>
      <c r="L394" s="1566"/>
      <c r="M394" s="1566"/>
      <c r="N394" s="1566"/>
      <c r="O394" s="1566"/>
      <c r="P394" s="1566"/>
      <c r="Q394" s="1566"/>
    </row>
    <row r="395" spans="1:17" ht="21.25" hidden="1" customHeight="1">
      <c r="A395" s="201"/>
      <c r="B395" s="182"/>
      <c r="C395" s="182"/>
      <c r="D395" s="182"/>
      <c r="E395" s="230"/>
      <c r="F395" s="280"/>
      <c r="G395" s="286" t="s">
        <v>474</v>
      </c>
      <c r="H395" s="134"/>
      <c r="I395" s="1565" t="s">
        <v>486</v>
      </c>
      <c r="J395" s="1566"/>
      <c r="K395" s="1566"/>
      <c r="L395" s="1566"/>
      <c r="M395" s="1566"/>
      <c r="N395" s="1566"/>
      <c r="O395" s="1566"/>
      <c r="P395" s="1566"/>
      <c r="Q395" s="1566"/>
    </row>
    <row r="396" spans="1:17" ht="21.25" hidden="1" customHeight="1">
      <c r="A396" s="201"/>
      <c r="B396" s="182"/>
      <c r="C396" s="182"/>
      <c r="D396" s="182"/>
      <c r="E396" s="230"/>
      <c r="F396" s="280"/>
      <c r="G396" s="286" t="s">
        <v>474</v>
      </c>
      <c r="H396" s="134"/>
      <c r="I396" s="1565" t="s">
        <v>486</v>
      </c>
      <c r="J396" s="1566"/>
      <c r="K396" s="1566"/>
      <c r="L396" s="1566"/>
      <c r="M396" s="1566"/>
      <c r="N396" s="1566"/>
      <c r="O396" s="1566"/>
      <c r="P396" s="1566"/>
      <c r="Q396" s="1566"/>
    </row>
    <row r="397" spans="1:17" ht="21.25" hidden="1" customHeight="1">
      <c r="A397" s="201"/>
      <c r="B397" s="182"/>
      <c r="C397" s="182"/>
      <c r="D397" s="182"/>
      <c r="E397" s="230"/>
      <c r="F397" s="280"/>
      <c r="G397" s="286" t="s">
        <v>474</v>
      </c>
      <c r="H397" s="134"/>
      <c r="I397" s="1565" t="s">
        <v>486</v>
      </c>
      <c r="J397" s="1566"/>
      <c r="K397" s="1566"/>
      <c r="L397" s="1566"/>
      <c r="M397" s="1566"/>
      <c r="N397" s="1566"/>
      <c r="O397" s="1566"/>
      <c r="P397" s="1566"/>
      <c r="Q397" s="1566"/>
    </row>
    <row r="398" spans="1:17" ht="21.25" hidden="1" customHeight="1">
      <c r="A398" s="201"/>
      <c r="B398" s="182"/>
      <c r="C398" s="182"/>
      <c r="D398" s="182"/>
      <c r="E398" s="230"/>
      <c r="F398" s="280"/>
      <c r="G398" s="286" t="s">
        <v>474</v>
      </c>
      <c r="H398" s="134"/>
      <c r="I398" s="1565" t="s">
        <v>486</v>
      </c>
      <c r="J398" s="1566"/>
      <c r="K398" s="1566"/>
      <c r="L398" s="1566"/>
      <c r="M398" s="1566"/>
      <c r="N398" s="1566"/>
      <c r="O398" s="1566"/>
      <c r="P398" s="1566"/>
      <c r="Q398" s="1566"/>
    </row>
    <row r="399" spans="1:17" ht="21.25" hidden="1" customHeight="1">
      <c r="A399" s="201"/>
      <c r="B399" s="182"/>
      <c r="C399" s="182"/>
      <c r="D399" s="182"/>
      <c r="E399" s="230"/>
      <c r="F399" s="280"/>
      <c r="G399" s="286" t="s">
        <v>474</v>
      </c>
      <c r="H399" s="134"/>
      <c r="I399" s="1565" t="s">
        <v>486</v>
      </c>
      <c r="J399" s="1566"/>
      <c r="K399" s="1566"/>
      <c r="L399" s="1566"/>
      <c r="M399" s="1566"/>
      <c r="N399" s="1566"/>
      <c r="O399" s="1566"/>
      <c r="P399" s="1566"/>
      <c r="Q399" s="1566"/>
    </row>
    <row r="400" spans="1:17" ht="21.25" hidden="1" customHeight="1">
      <c r="A400" s="201"/>
      <c r="B400" s="182"/>
      <c r="C400" s="182"/>
      <c r="D400" s="182"/>
      <c r="E400" s="230"/>
      <c r="F400" s="280"/>
      <c r="G400" s="286" t="s">
        <v>474</v>
      </c>
      <c r="H400" s="134"/>
      <c r="I400" s="1565" t="s">
        <v>486</v>
      </c>
      <c r="J400" s="1566"/>
      <c r="K400" s="1566"/>
      <c r="L400" s="1566"/>
      <c r="M400" s="1566"/>
      <c r="N400" s="1566"/>
      <c r="O400" s="1566"/>
      <c r="P400" s="1566"/>
      <c r="Q400" s="1566"/>
    </row>
    <row r="401" spans="1:17" ht="21.25" hidden="1" customHeight="1">
      <c r="A401" s="201"/>
      <c r="B401" s="182"/>
      <c r="C401" s="182"/>
      <c r="D401" s="182"/>
      <c r="E401" s="230"/>
      <c r="F401" s="280"/>
      <c r="G401" s="286" t="s">
        <v>474</v>
      </c>
      <c r="H401" s="134"/>
      <c r="I401" s="1565" t="s">
        <v>486</v>
      </c>
      <c r="J401" s="1566"/>
      <c r="K401" s="1566"/>
      <c r="L401" s="1566"/>
      <c r="M401" s="1566"/>
      <c r="N401" s="1566"/>
      <c r="O401" s="1566"/>
      <c r="P401" s="1566"/>
      <c r="Q401" s="1566"/>
    </row>
    <row r="402" spans="1:17" ht="21.25" hidden="1" customHeight="1" thickBot="1">
      <c r="A402" s="254"/>
      <c r="B402" s="259"/>
      <c r="C402" s="259"/>
      <c r="D402" s="259"/>
      <c r="E402" s="267"/>
      <c r="F402" s="281"/>
      <c r="G402" s="289"/>
      <c r="H402" s="283"/>
      <c r="I402" s="283"/>
      <c r="J402" s="283"/>
      <c r="K402" s="298" t="s">
        <v>477</v>
      </c>
      <c r="L402" s="283"/>
      <c r="M402" s="283"/>
      <c r="N402" s="283"/>
      <c r="O402" s="283"/>
      <c r="P402" s="283"/>
      <c r="Q402" s="283"/>
    </row>
    <row r="403" spans="1:17" ht="21.25" hidden="1" customHeight="1">
      <c r="A403" s="182"/>
      <c r="B403" s="182"/>
      <c r="C403" s="182"/>
      <c r="D403" s="182"/>
      <c r="E403" s="230"/>
      <c r="F403" s="182"/>
      <c r="G403" s="99"/>
      <c r="H403" s="99"/>
      <c r="I403" s="99"/>
      <c r="J403" s="99"/>
      <c r="K403" s="100"/>
      <c r="L403" s="99"/>
      <c r="M403" s="99"/>
      <c r="N403" s="99"/>
      <c r="O403" s="99"/>
      <c r="P403" s="99"/>
      <c r="Q403" s="99"/>
    </row>
    <row r="404" spans="1:17" ht="21.25" hidden="1" customHeight="1">
      <c r="G404" s="97"/>
      <c r="H404" s="97"/>
      <c r="I404" s="97"/>
      <c r="J404" s="97"/>
      <c r="K404" s="97"/>
      <c r="L404" s="97"/>
      <c r="M404" s="97"/>
      <c r="N404" s="97"/>
      <c r="O404" s="97"/>
      <c r="P404" s="97"/>
      <c r="Q404" s="97"/>
    </row>
    <row r="405" spans="1:17" ht="21.25" hidden="1" customHeight="1" thickBot="1">
      <c r="A405" s="264" t="s">
        <v>452</v>
      </c>
      <c r="G405" s="97"/>
      <c r="H405" s="97"/>
      <c r="I405" s="97"/>
      <c r="J405" s="97"/>
      <c r="K405" s="97"/>
      <c r="L405" s="97"/>
      <c r="M405" s="97"/>
      <c r="N405" s="97"/>
      <c r="O405" s="97"/>
      <c r="P405" s="97"/>
      <c r="Q405" s="97"/>
    </row>
    <row r="406" spans="1:17" ht="21.25" hidden="1" customHeight="1">
      <c r="A406" s="1569" t="s">
        <v>441</v>
      </c>
      <c r="B406" s="1570"/>
      <c r="C406" s="1570"/>
      <c r="D406" s="1570"/>
      <c r="E406" s="1570"/>
      <c r="F406" s="1571"/>
      <c r="G406" s="296" t="str">
        <f>+C408</f>
        <v>1 CP Peak</v>
      </c>
      <c r="H406" s="293"/>
      <c r="I406" s="1572" t="s">
        <v>483</v>
      </c>
      <c r="J406" s="1573"/>
      <c r="K406" s="1573"/>
      <c r="L406" s="1573"/>
      <c r="M406" s="1573"/>
      <c r="N406" s="1573"/>
      <c r="O406" s="1573"/>
      <c r="P406" s="1573"/>
      <c r="Q406" s="1573"/>
    </row>
    <row r="407" spans="1:17" ht="15.5" hidden="1">
      <c r="A407" s="201"/>
      <c r="B407" s="178" t="s">
        <v>438</v>
      </c>
      <c r="C407" s="138"/>
      <c r="D407" s="138"/>
      <c r="E407" s="139"/>
      <c r="F407" s="198"/>
      <c r="G407" s="284"/>
      <c r="H407" s="99"/>
      <c r="I407" s="99"/>
      <c r="J407" s="99"/>
      <c r="K407" s="99"/>
      <c r="L407" s="99"/>
      <c r="M407" s="99"/>
      <c r="N407" s="99"/>
      <c r="O407" s="99"/>
      <c r="P407" s="99"/>
      <c r="Q407" s="99"/>
    </row>
    <row r="408" spans="1:17" ht="16" hidden="1" thickBot="1">
      <c r="A408" s="254">
        <v>167</v>
      </c>
      <c r="B408" s="255"/>
      <c r="C408" s="256" t="s">
        <v>257</v>
      </c>
      <c r="D408" s="256"/>
      <c r="E408" s="257" t="s">
        <v>318</v>
      </c>
      <c r="F408" s="258" t="s">
        <v>440</v>
      </c>
      <c r="G408" s="291" t="s">
        <v>460</v>
      </c>
      <c r="H408" s="297"/>
      <c r="I408" s="1567" t="str">
        <f>+I406</f>
        <v xml:space="preserve">Description &amp; PJM Documentation </v>
      </c>
      <c r="J408" s="1568"/>
      <c r="K408" s="1568"/>
      <c r="L408" s="1568"/>
      <c r="M408" s="1568"/>
      <c r="N408" s="1568"/>
      <c r="O408" s="1568"/>
      <c r="P408" s="1568"/>
      <c r="Q408" s="1568"/>
    </row>
    <row r="409" spans="1:17" ht="13" hidden="1">
      <c r="G409" s="97"/>
      <c r="H409" s="97"/>
      <c r="I409" s="97"/>
      <c r="J409" s="97"/>
      <c r="K409" s="97"/>
      <c r="L409" s="97"/>
      <c r="M409" s="97"/>
      <c r="N409" s="97"/>
      <c r="O409" s="97"/>
      <c r="P409" s="97"/>
      <c r="Q409" s="97"/>
    </row>
    <row r="410" spans="1:17" ht="13" hidden="1">
      <c r="G410" s="97"/>
      <c r="H410" s="97"/>
      <c r="I410" s="97"/>
      <c r="J410" s="97"/>
      <c r="K410" s="97"/>
      <c r="L410" s="97"/>
      <c r="M410" s="97"/>
      <c r="N410" s="97"/>
      <c r="O410" s="97"/>
      <c r="P410" s="97"/>
      <c r="Q410" s="97"/>
    </row>
    <row r="411" spans="1:17" ht="13" hidden="1">
      <c r="G411" s="97"/>
      <c r="H411" s="97"/>
      <c r="I411" s="97"/>
      <c r="J411" s="97"/>
      <c r="K411" s="97"/>
      <c r="L411" s="97"/>
      <c r="M411" s="97"/>
      <c r="N411" s="97"/>
      <c r="O411" s="97"/>
      <c r="P411" s="97"/>
      <c r="Q411" s="97"/>
    </row>
    <row r="412" spans="1:17" ht="13" hidden="1">
      <c r="G412" s="97"/>
      <c r="H412" s="97"/>
      <c r="I412" s="97"/>
      <c r="J412" s="97"/>
      <c r="K412" s="97"/>
      <c r="L412" s="97"/>
      <c r="M412" s="97"/>
      <c r="N412" s="97"/>
      <c r="O412" s="97"/>
      <c r="P412" s="97"/>
      <c r="Q412" s="97"/>
    </row>
    <row r="413" spans="1:17" ht="13" hidden="1">
      <c r="G413" s="97"/>
      <c r="H413" s="97"/>
      <c r="I413" s="97"/>
      <c r="J413" s="97"/>
      <c r="K413" s="97"/>
      <c r="L413" s="97"/>
      <c r="M413" s="97"/>
      <c r="N413" s="97"/>
      <c r="O413" s="97"/>
      <c r="P413" s="97"/>
      <c r="Q413" s="97"/>
    </row>
    <row r="414" spans="1:17" ht="13" hidden="1">
      <c r="G414" s="97"/>
      <c r="H414" s="97"/>
      <c r="I414" s="97"/>
      <c r="J414" s="97"/>
      <c r="K414" s="97"/>
      <c r="L414" s="97"/>
      <c r="M414" s="97"/>
      <c r="N414" s="97"/>
      <c r="O414" s="97"/>
      <c r="P414" s="97"/>
      <c r="Q414" s="97"/>
    </row>
    <row r="415" spans="1:17" ht="13" hidden="1">
      <c r="G415" s="97"/>
      <c r="H415" s="97"/>
      <c r="I415" s="97"/>
      <c r="J415" s="97"/>
      <c r="K415" s="97"/>
      <c r="L415" s="97"/>
      <c r="M415" s="97"/>
      <c r="N415" s="97"/>
      <c r="O415" s="97"/>
      <c r="P415" s="97"/>
      <c r="Q415" s="97"/>
    </row>
    <row r="416" spans="1:17" ht="13" hidden="1">
      <c r="G416" s="97"/>
      <c r="H416" s="97"/>
      <c r="I416" s="97"/>
      <c r="J416" s="97"/>
      <c r="K416" s="97"/>
      <c r="L416" s="97"/>
      <c r="M416" s="97"/>
      <c r="N416" s="97"/>
      <c r="O416" s="97"/>
      <c r="P416" s="97"/>
      <c r="Q416" s="97"/>
    </row>
    <row r="417" spans="3:17" ht="13">
      <c r="G417" s="97"/>
      <c r="H417" s="97"/>
      <c r="I417" s="97"/>
      <c r="J417" s="97"/>
      <c r="K417" s="97"/>
      <c r="L417" s="97"/>
      <c r="M417" s="97"/>
      <c r="N417" s="97"/>
      <c r="O417" s="97"/>
      <c r="P417" s="97"/>
      <c r="Q417" s="97"/>
    </row>
    <row r="418" spans="3:17" ht="13">
      <c r="G418" s="97"/>
      <c r="H418" s="97"/>
      <c r="I418" s="97"/>
      <c r="J418" s="97"/>
      <c r="K418" s="97"/>
      <c r="L418" s="97"/>
      <c r="M418" s="97"/>
      <c r="N418" s="97"/>
      <c r="O418" s="97"/>
      <c r="P418" s="97"/>
      <c r="Q418" s="97"/>
    </row>
    <row r="419" spans="3:17" ht="20">
      <c r="C419" s="299"/>
      <c r="G419" s="97"/>
      <c r="H419" s="97"/>
      <c r="I419" s="97"/>
      <c r="J419" s="97"/>
      <c r="K419" s="97"/>
      <c r="L419" s="97"/>
      <c r="M419" s="97"/>
      <c r="N419" s="97"/>
      <c r="O419" s="97"/>
      <c r="P419" s="97"/>
      <c r="Q419" s="97"/>
    </row>
    <row r="420" spans="3:17" ht="20">
      <c r="C420" s="299"/>
      <c r="G420" s="97"/>
      <c r="H420" s="97"/>
      <c r="I420" s="97"/>
      <c r="J420" s="97"/>
      <c r="K420" s="97"/>
      <c r="L420" s="97"/>
      <c r="M420" s="97"/>
      <c r="N420" s="97"/>
      <c r="O420" s="97"/>
      <c r="P420" s="97"/>
      <c r="Q420" s="97"/>
    </row>
    <row r="421" spans="3:17" ht="13">
      <c r="G421" s="97"/>
      <c r="H421" s="97"/>
      <c r="I421" s="97"/>
      <c r="J421" s="97"/>
      <c r="K421" s="97"/>
      <c r="L421" s="97"/>
      <c r="M421" s="97"/>
      <c r="N421" s="97"/>
      <c r="O421" s="97"/>
      <c r="P421" s="97"/>
      <c r="Q421" s="97"/>
    </row>
    <row r="422" spans="3:17" ht="13">
      <c r="G422" s="97"/>
      <c r="H422" s="97"/>
      <c r="I422" s="97"/>
      <c r="J422" s="97"/>
      <c r="K422" s="97"/>
      <c r="L422" s="97"/>
      <c r="M422" s="97"/>
      <c r="N422" s="97"/>
      <c r="O422" s="97"/>
      <c r="P422" s="97"/>
      <c r="Q422" s="97"/>
    </row>
    <row r="423" spans="3:17" ht="13">
      <c r="G423" s="97"/>
      <c r="H423" s="97"/>
      <c r="I423" s="97"/>
      <c r="J423" s="97"/>
      <c r="K423" s="97"/>
      <c r="L423" s="97"/>
      <c r="M423" s="97"/>
      <c r="N423" s="97"/>
      <c r="O423" s="97"/>
      <c r="P423" s="97"/>
      <c r="Q423" s="97"/>
    </row>
    <row r="424" spans="3:17" ht="13">
      <c r="G424" s="97"/>
      <c r="H424" s="97"/>
      <c r="I424" s="97"/>
      <c r="J424" s="97"/>
      <c r="K424" s="97"/>
      <c r="L424" s="97"/>
      <c r="M424" s="97"/>
      <c r="N424" s="97"/>
      <c r="O424" s="97"/>
      <c r="P424" s="97"/>
      <c r="Q424" s="97"/>
    </row>
    <row r="425" spans="3:17" ht="13">
      <c r="G425" s="97"/>
      <c r="H425" s="97"/>
      <c r="I425" s="97"/>
      <c r="J425" s="97"/>
      <c r="K425" s="97"/>
      <c r="L425" s="97"/>
      <c r="M425" s="97"/>
      <c r="N425" s="97"/>
      <c r="O425" s="97"/>
      <c r="P425" s="97"/>
      <c r="Q425" s="97"/>
    </row>
    <row r="426" spans="3:17" ht="13">
      <c r="G426" s="97"/>
      <c r="H426" s="97"/>
      <c r="I426" s="97"/>
      <c r="J426" s="97"/>
      <c r="K426" s="97"/>
      <c r="L426" s="97"/>
      <c r="M426" s="97"/>
      <c r="N426" s="97"/>
      <c r="O426" s="97"/>
      <c r="P426" s="97"/>
      <c r="Q426" s="97"/>
    </row>
    <row r="427" spans="3:17" ht="13">
      <c r="G427" s="97"/>
      <c r="H427" s="97"/>
      <c r="I427" s="97"/>
      <c r="J427" s="97"/>
      <c r="K427" s="97"/>
      <c r="L427" s="97"/>
      <c r="M427" s="97"/>
      <c r="N427" s="97"/>
      <c r="O427" s="97"/>
      <c r="P427" s="97"/>
      <c r="Q427" s="97"/>
    </row>
    <row r="428" spans="3:17" ht="13">
      <c r="G428" s="97"/>
      <c r="H428" s="97"/>
      <c r="I428" s="97"/>
      <c r="J428" s="97"/>
      <c r="K428" s="97"/>
      <c r="L428" s="97"/>
      <c r="M428" s="97"/>
      <c r="N428" s="97"/>
      <c r="O428" s="97"/>
      <c r="P428" s="97"/>
      <c r="Q428" s="97"/>
    </row>
    <row r="429" spans="3:17" ht="13">
      <c r="G429" s="97"/>
      <c r="H429" s="97"/>
      <c r="I429" s="97"/>
      <c r="J429" s="97"/>
      <c r="K429" s="97"/>
      <c r="L429" s="97"/>
      <c r="M429" s="97"/>
      <c r="N429" s="97"/>
      <c r="O429" s="97"/>
      <c r="P429" s="97"/>
      <c r="Q429" s="97"/>
    </row>
    <row r="430" spans="3:17" ht="13">
      <c r="G430" s="97"/>
      <c r="H430" s="97"/>
      <c r="I430" s="97"/>
      <c r="J430" s="97"/>
      <c r="K430" s="97"/>
      <c r="L430" s="97"/>
      <c r="M430" s="97"/>
      <c r="N430" s="97"/>
      <c r="O430" s="97"/>
      <c r="P430" s="97"/>
      <c r="Q430" s="97"/>
    </row>
    <row r="431" spans="3:17" ht="13">
      <c r="G431" s="97"/>
      <c r="H431" s="97"/>
      <c r="I431" s="97"/>
      <c r="J431" s="97"/>
      <c r="K431" s="97"/>
      <c r="L431" s="97"/>
      <c r="M431" s="97"/>
      <c r="N431" s="97"/>
      <c r="O431" s="97"/>
      <c r="P431" s="97"/>
      <c r="Q431" s="97"/>
    </row>
    <row r="432" spans="3:17" ht="13">
      <c r="G432" s="97"/>
      <c r="H432" s="97"/>
      <c r="I432" s="97"/>
      <c r="J432" s="97"/>
      <c r="K432" s="97"/>
      <c r="L432" s="97"/>
      <c r="M432" s="97"/>
      <c r="N432" s="97"/>
      <c r="O432" s="97"/>
      <c r="P432" s="97"/>
      <c r="Q432" s="97"/>
    </row>
    <row r="433" spans="7:17" ht="13">
      <c r="G433" s="97"/>
      <c r="H433" s="97"/>
      <c r="I433" s="97"/>
      <c r="J433" s="97"/>
      <c r="K433" s="97"/>
      <c r="L433" s="97"/>
      <c r="M433" s="97"/>
      <c r="N433" s="97"/>
      <c r="O433" s="97"/>
      <c r="P433" s="97"/>
      <c r="Q433" s="97"/>
    </row>
    <row r="434" spans="7:17" ht="13">
      <c r="G434" s="97"/>
      <c r="H434" s="97"/>
      <c r="I434" s="97"/>
      <c r="J434" s="97"/>
      <c r="K434" s="97"/>
      <c r="L434" s="97"/>
      <c r="M434" s="97"/>
      <c r="N434" s="97"/>
      <c r="O434" s="97"/>
      <c r="P434" s="97"/>
      <c r="Q434" s="97"/>
    </row>
    <row r="435" spans="7:17" ht="13">
      <c r="G435" s="97"/>
      <c r="H435" s="97"/>
      <c r="I435" s="97"/>
      <c r="J435" s="97"/>
      <c r="K435" s="97"/>
      <c r="L435" s="97"/>
      <c r="M435" s="97"/>
      <c r="N435" s="97"/>
      <c r="O435" s="97"/>
      <c r="P435" s="97"/>
      <c r="Q435" s="97"/>
    </row>
    <row r="436" spans="7:17" ht="13">
      <c r="G436" s="97"/>
      <c r="H436" s="97"/>
      <c r="I436" s="97"/>
      <c r="J436" s="97"/>
      <c r="K436" s="97"/>
      <c r="L436" s="97"/>
      <c r="M436" s="97"/>
      <c r="N436" s="97"/>
      <c r="O436" s="97"/>
      <c r="P436" s="97"/>
      <c r="Q436" s="97"/>
    </row>
    <row r="437" spans="7:17" ht="13">
      <c r="G437" s="97"/>
      <c r="H437" s="97"/>
      <c r="I437" s="97"/>
      <c r="J437" s="97"/>
      <c r="K437" s="97"/>
      <c r="L437" s="97"/>
      <c r="M437" s="97"/>
      <c r="N437" s="97"/>
      <c r="O437" s="97"/>
      <c r="P437" s="97"/>
      <c r="Q437" s="97"/>
    </row>
    <row r="438" spans="7:17" ht="13">
      <c r="G438" s="97"/>
      <c r="H438" s="97"/>
      <c r="I438" s="97"/>
      <c r="J438" s="97"/>
      <c r="K438" s="97"/>
      <c r="L438" s="97"/>
      <c r="M438" s="97"/>
      <c r="N438" s="97"/>
      <c r="O438" s="97"/>
      <c r="P438" s="97"/>
      <c r="Q438" s="97"/>
    </row>
    <row r="439" spans="7:17" ht="13">
      <c r="G439" s="97"/>
      <c r="H439" s="97"/>
      <c r="I439" s="97"/>
      <c r="J439" s="97"/>
      <c r="K439" s="97"/>
      <c r="L439" s="97"/>
      <c r="M439" s="97"/>
      <c r="N439" s="97"/>
      <c r="O439" s="97"/>
      <c r="P439" s="97"/>
      <c r="Q439" s="97"/>
    </row>
    <row r="440" spans="7:17" ht="14">
      <c r="G440" s="292"/>
      <c r="H440" s="292"/>
      <c r="I440" s="292"/>
      <c r="J440" s="292"/>
      <c r="K440" s="292"/>
      <c r="L440" s="292"/>
      <c r="M440" s="292"/>
      <c r="N440" s="292"/>
      <c r="O440" s="292"/>
      <c r="P440" s="292"/>
      <c r="Q440" s="292"/>
    </row>
    <row r="441" spans="7:17" ht="14">
      <c r="G441" s="292"/>
      <c r="H441" s="292"/>
      <c r="I441" s="292"/>
      <c r="J441" s="292"/>
      <c r="K441" s="292"/>
      <c r="L441" s="292"/>
      <c r="M441" s="292"/>
      <c r="N441" s="292"/>
      <c r="O441" s="292"/>
      <c r="P441" s="292"/>
      <c r="Q441" s="292"/>
    </row>
    <row r="442" spans="7:17" ht="14">
      <c r="G442" s="292"/>
      <c r="H442" s="292"/>
      <c r="I442" s="292"/>
      <c r="J442" s="292"/>
      <c r="K442" s="292"/>
      <c r="L442" s="292"/>
      <c r="M442" s="292"/>
      <c r="N442" s="292"/>
      <c r="O442" s="292"/>
      <c r="P442" s="292"/>
      <c r="Q442" s="292"/>
    </row>
    <row r="443" spans="7:17" ht="14">
      <c r="G443" s="292"/>
      <c r="H443" s="292"/>
      <c r="I443" s="292"/>
      <c r="J443" s="292"/>
      <c r="K443" s="292"/>
      <c r="L443" s="292"/>
      <c r="M443" s="292"/>
      <c r="N443" s="292"/>
      <c r="O443" s="292"/>
      <c r="P443" s="292"/>
      <c r="Q443" s="292"/>
    </row>
    <row r="444" spans="7:17" ht="14">
      <c r="G444" s="292"/>
      <c r="H444" s="292"/>
      <c r="I444" s="292"/>
      <c r="J444" s="292"/>
      <c r="K444" s="292"/>
      <c r="L444" s="292"/>
      <c r="M444" s="292"/>
      <c r="N444" s="292"/>
      <c r="O444" s="292"/>
      <c r="P444" s="292"/>
      <c r="Q444" s="292"/>
    </row>
    <row r="445" spans="7:17" ht="14">
      <c r="G445" s="292"/>
      <c r="H445" s="292"/>
      <c r="I445" s="292"/>
      <c r="J445" s="292"/>
      <c r="K445" s="292"/>
      <c r="L445" s="292"/>
      <c r="M445" s="292"/>
      <c r="N445" s="292"/>
      <c r="O445" s="292"/>
      <c r="P445" s="292"/>
      <c r="Q445" s="292"/>
    </row>
    <row r="446" spans="7:17" ht="14">
      <c r="G446" s="292"/>
      <c r="H446" s="292"/>
      <c r="I446" s="292"/>
      <c r="J446" s="292"/>
      <c r="K446" s="292"/>
      <c r="L446" s="292"/>
      <c r="M446" s="292"/>
      <c r="N446" s="292"/>
      <c r="O446" s="292"/>
      <c r="P446" s="292"/>
      <c r="Q446" s="292"/>
    </row>
    <row r="447" spans="7:17" ht="14">
      <c r="G447" s="292"/>
      <c r="H447" s="292"/>
      <c r="I447" s="292"/>
      <c r="J447" s="292"/>
      <c r="K447" s="292"/>
      <c r="L447" s="292"/>
      <c r="M447" s="292"/>
      <c r="N447" s="292"/>
      <c r="O447" s="292"/>
      <c r="P447" s="292"/>
      <c r="Q447" s="292"/>
    </row>
    <row r="448" spans="7:17" ht="14">
      <c r="G448" s="292"/>
      <c r="H448" s="292"/>
      <c r="I448" s="292"/>
      <c r="J448" s="292"/>
      <c r="K448" s="292"/>
      <c r="L448" s="292"/>
      <c r="M448" s="292"/>
      <c r="N448" s="292"/>
      <c r="O448" s="292"/>
      <c r="P448" s="292"/>
      <c r="Q448" s="292"/>
    </row>
    <row r="449" spans="7:17" ht="14">
      <c r="G449" s="292"/>
      <c r="H449" s="292"/>
      <c r="I449" s="292"/>
      <c r="J449" s="292"/>
      <c r="K449" s="292"/>
      <c r="L449" s="292"/>
      <c r="M449" s="292"/>
      <c r="N449" s="292"/>
      <c r="O449" s="292"/>
      <c r="P449" s="292"/>
      <c r="Q449" s="292"/>
    </row>
    <row r="450" spans="7:17" ht="14">
      <c r="G450" s="292"/>
      <c r="H450" s="292"/>
      <c r="I450" s="292"/>
      <c r="J450" s="292"/>
      <c r="K450" s="292"/>
      <c r="L450" s="292"/>
      <c r="M450" s="292"/>
      <c r="N450" s="292"/>
      <c r="O450" s="292"/>
      <c r="P450" s="292"/>
      <c r="Q450" s="292"/>
    </row>
    <row r="451" spans="7:17" ht="14">
      <c r="G451" s="292"/>
      <c r="H451" s="292"/>
      <c r="I451" s="292"/>
      <c r="J451" s="292"/>
      <c r="K451" s="292"/>
      <c r="L451" s="292"/>
      <c r="M451" s="292"/>
      <c r="N451" s="292"/>
      <c r="O451" s="292"/>
      <c r="P451" s="292"/>
      <c r="Q451" s="292"/>
    </row>
    <row r="452" spans="7:17" ht="14">
      <c r="G452" s="292"/>
      <c r="H452" s="292"/>
      <c r="I452" s="292"/>
      <c r="J452" s="292"/>
      <c r="K452" s="292"/>
      <c r="L452" s="292"/>
      <c r="M452" s="292"/>
      <c r="N452" s="292"/>
      <c r="O452" s="292"/>
      <c r="P452" s="292"/>
      <c r="Q452" s="292"/>
    </row>
    <row r="453" spans="7:17" ht="14">
      <c r="G453" s="292"/>
      <c r="H453" s="292"/>
      <c r="I453" s="292"/>
      <c r="J453" s="292"/>
      <c r="K453" s="292"/>
      <c r="L453" s="292"/>
      <c r="M453" s="292"/>
      <c r="N453" s="292"/>
      <c r="O453" s="292"/>
      <c r="P453" s="292"/>
      <c r="Q453" s="292"/>
    </row>
    <row r="454" spans="7:17" ht="14">
      <c r="G454" s="292"/>
      <c r="H454" s="292"/>
      <c r="I454" s="292"/>
      <c r="J454" s="292"/>
      <c r="K454" s="292"/>
      <c r="L454" s="292"/>
      <c r="M454" s="292"/>
      <c r="N454" s="292"/>
      <c r="O454" s="292"/>
      <c r="P454" s="292"/>
      <c r="Q454" s="292"/>
    </row>
    <row r="455" spans="7:17" ht="14">
      <c r="G455" s="292"/>
      <c r="H455" s="292"/>
      <c r="I455" s="292"/>
      <c r="J455" s="292"/>
      <c r="K455" s="292"/>
      <c r="L455" s="292"/>
      <c r="M455" s="292"/>
      <c r="N455" s="292"/>
      <c r="O455" s="292"/>
      <c r="P455" s="292"/>
      <c r="Q455" s="292"/>
    </row>
    <row r="456" spans="7:17" ht="14">
      <c r="G456" s="292"/>
      <c r="H456" s="292"/>
      <c r="I456" s="292"/>
      <c r="J456" s="292"/>
      <c r="K456" s="292"/>
      <c r="L456" s="292"/>
      <c r="M456" s="292"/>
      <c r="N456" s="292"/>
      <c r="O456" s="292"/>
      <c r="P456" s="292"/>
      <c r="Q456" s="292"/>
    </row>
    <row r="457" spans="7:17" ht="14">
      <c r="G457" s="292"/>
      <c r="H457" s="292"/>
      <c r="I457" s="292"/>
      <c r="J457" s="292"/>
      <c r="K457" s="292"/>
      <c r="L457" s="292"/>
      <c r="M457" s="292"/>
      <c r="N457" s="292"/>
      <c r="O457" s="292"/>
      <c r="P457" s="292"/>
      <c r="Q457" s="292"/>
    </row>
    <row r="458" spans="7:17" ht="14">
      <c r="G458" s="292"/>
      <c r="H458" s="292"/>
      <c r="I458" s="292"/>
      <c r="J458" s="292"/>
      <c r="K458" s="292"/>
      <c r="L458" s="292"/>
      <c r="M458" s="292"/>
      <c r="N458" s="292"/>
      <c r="O458" s="292"/>
      <c r="P458" s="292"/>
      <c r="Q458" s="292"/>
    </row>
    <row r="459" spans="7:17" ht="14">
      <c r="G459" s="292"/>
      <c r="H459" s="292"/>
      <c r="I459" s="292"/>
      <c r="J459" s="292"/>
      <c r="K459" s="292"/>
      <c r="L459" s="292"/>
      <c r="M459" s="292"/>
      <c r="N459" s="292"/>
      <c r="O459" s="292"/>
      <c r="P459" s="292"/>
      <c r="Q459" s="292"/>
    </row>
    <row r="460" spans="7:17" ht="14">
      <c r="G460" s="292"/>
      <c r="H460" s="292"/>
      <c r="I460" s="292"/>
      <c r="J460" s="292"/>
      <c r="K460" s="292"/>
      <c r="L460" s="292"/>
      <c r="M460" s="292"/>
      <c r="N460" s="292"/>
      <c r="O460" s="292"/>
      <c r="P460" s="292"/>
      <c r="Q460" s="292"/>
    </row>
    <row r="461" spans="7:17" ht="14">
      <c r="G461" s="292"/>
      <c r="H461" s="292"/>
      <c r="I461" s="292"/>
      <c r="J461" s="292"/>
      <c r="K461" s="292"/>
      <c r="L461" s="292"/>
      <c r="M461" s="292"/>
      <c r="N461" s="292"/>
      <c r="O461" s="292"/>
      <c r="P461" s="292"/>
      <c r="Q461" s="292"/>
    </row>
    <row r="462" spans="7:17" ht="14">
      <c r="G462" s="292"/>
      <c r="H462" s="292"/>
      <c r="I462" s="292"/>
      <c r="J462" s="292"/>
      <c r="K462" s="292"/>
      <c r="L462" s="292"/>
      <c r="M462" s="292"/>
      <c r="N462" s="292"/>
      <c r="O462" s="292"/>
      <c r="P462" s="292"/>
      <c r="Q462" s="292"/>
    </row>
    <row r="463" spans="7:17" ht="14">
      <c r="G463" s="292"/>
      <c r="H463" s="292"/>
      <c r="I463" s="292"/>
      <c r="J463" s="292"/>
      <c r="K463" s="292"/>
      <c r="L463" s="292"/>
      <c r="M463" s="292"/>
      <c r="N463" s="292"/>
      <c r="O463" s="292"/>
      <c r="P463" s="292"/>
      <c r="Q463" s="292"/>
    </row>
    <row r="464" spans="7:17" ht="14">
      <c r="G464" s="292"/>
      <c r="H464" s="292"/>
      <c r="I464" s="292"/>
      <c r="J464" s="292"/>
      <c r="K464" s="292"/>
      <c r="L464" s="292"/>
      <c r="M464" s="292"/>
      <c r="N464" s="292"/>
      <c r="O464" s="292"/>
      <c r="P464" s="292"/>
      <c r="Q464" s="292"/>
    </row>
    <row r="465" spans="7:17" ht="14">
      <c r="G465" s="292"/>
      <c r="H465" s="292"/>
      <c r="I465" s="292"/>
      <c r="J465" s="292"/>
      <c r="K465" s="292"/>
      <c r="L465" s="292"/>
      <c r="M465" s="292"/>
      <c r="N465" s="292"/>
      <c r="O465" s="292"/>
      <c r="P465" s="292"/>
      <c r="Q465" s="292"/>
    </row>
    <row r="466" spans="7:17" ht="14">
      <c r="G466" s="292"/>
      <c r="H466" s="292"/>
      <c r="I466" s="292"/>
      <c r="J466" s="292"/>
      <c r="K466" s="292"/>
      <c r="L466" s="292"/>
      <c r="M466" s="292"/>
      <c r="N466" s="292"/>
      <c r="O466" s="292"/>
      <c r="P466" s="292"/>
      <c r="Q466" s="292"/>
    </row>
    <row r="467" spans="7:17" ht="14">
      <c r="G467" s="292"/>
      <c r="H467" s="292"/>
      <c r="I467" s="292"/>
      <c r="J467" s="292"/>
      <c r="K467" s="292"/>
      <c r="L467" s="292"/>
      <c r="M467" s="292"/>
      <c r="N467" s="292"/>
      <c r="O467" s="292"/>
      <c r="P467" s="292"/>
      <c r="Q467" s="292"/>
    </row>
    <row r="468" spans="7:17" ht="14">
      <c r="G468" s="292"/>
      <c r="H468" s="292"/>
      <c r="I468" s="292"/>
      <c r="J468" s="292"/>
      <c r="K468" s="292"/>
      <c r="L468" s="292"/>
      <c r="M468" s="292"/>
      <c r="N468" s="292"/>
      <c r="O468" s="292"/>
      <c r="P468" s="292"/>
      <c r="Q468" s="292"/>
    </row>
    <row r="469" spans="7:17" ht="14">
      <c r="G469" s="292"/>
      <c r="H469" s="292"/>
      <c r="I469" s="292"/>
      <c r="J469" s="292"/>
      <c r="K469" s="292"/>
      <c r="L469" s="292"/>
      <c r="M469" s="292"/>
      <c r="N469" s="292"/>
      <c r="O469" s="292"/>
      <c r="P469" s="292"/>
      <c r="Q469" s="292"/>
    </row>
    <row r="470" spans="7:17" ht="14">
      <c r="G470" s="292"/>
      <c r="H470" s="292"/>
      <c r="I470" s="292"/>
      <c r="J470" s="292"/>
      <c r="K470" s="292"/>
      <c r="L470" s="292"/>
      <c r="M470" s="292"/>
      <c r="N470" s="292"/>
      <c r="O470" s="292"/>
      <c r="P470" s="292"/>
      <c r="Q470" s="292"/>
    </row>
    <row r="471" spans="7:17" ht="14">
      <c r="G471" s="292"/>
      <c r="H471" s="292"/>
      <c r="I471" s="292"/>
      <c r="J471" s="292"/>
      <c r="K471" s="292"/>
      <c r="L471" s="292"/>
      <c r="M471" s="292"/>
      <c r="N471" s="292"/>
      <c r="O471" s="292"/>
      <c r="P471" s="292"/>
      <c r="Q471" s="292"/>
    </row>
    <row r="472" spans="7:17" ht="14">
      <c r="G472" s="292"/>
      <c r="H472" s="292"/>
      <c r="I472" s="292"/>
      <c r="J472" s="292"/>
      <c r="K472" s="292"/>
      <c r="L472" s="292"/>
      <c r="M472" s="292"/>
      <c r="N472" s="292"/>
      <c r="O472" s="292"/>
      <c r="P472" s="292"/>
      <c r="Q472" s="292"/>
    </row>
    <row r="473" spans="7:17" ht="14">
      <c r="G473" s="292"/>
      <c r="H473" s="292"/>
      <c r="I473" s="292"/>
      <c r="J473" s="292"/>
      <c r="K473" s="292"/>
      <c r="L473" s="292"/>
      <c r="M473" s="292"/>
      <c r="N473" s="292"/>
      <c r="O473" s="292"/>
      <c r="P473" s="292"/>
      <c r="Q473" s="292"/>
    </row>
    <row r="474" spans="7:17" ht="14">
      <c r="G474" s="292"/>
      <c r="H474" s="292"/>
      <c r="I474" s="292"/>
      <c r="J474" s="292"/>
      <c r="K474" s="292"/>
      <c r="L474" s="292"/>
      <c r="M474" s="292"/>
      <c r="N474" s="292"/>
      <c r="O474" s="292"/>
      <c r="P474" s="292"/>
      <c r="Q474" s="292"/>
    </row>
    <row r="475" spans="7:17" ht="14">
      <c r="G475" s="292"/>
      <c r="H475" s="292"/>
      <c r="I475" s="292"/>
      <c r="J475" s="292"/>
      <c r="K475" s="292"/>
      <c r="L475" s="292"/>
      <c r="M475" s="292"/>
      <c r="N475" s="292"/>
      <c r="O475" s="292"/>
      <c r="P475" s="292"/>
      <c r="Q475" s="292"/>
    </row>
    <row r="476" spans="7:17" ht="14">
      <c r="G476" s="292"/>
      <c r="H476" s="292"/>
      <c r="I476" s="292"/>
      <c r="J476" s="292"/>
      <c r="K476" s="292"/>
      <c r="L476" s="292"/>
      <c r="M476" s="292"/>
      <c r="N476" s="292"/>
      <c r="O476" s="292"/>
      <c r="P476" s="292"/>
      <c r="Q476" s="292"/>
    </row>
    <row r="477" spans="7:17" ht="14">
      <c r="G477" s="292"/>
      <c r="H477" s="292"/>
      <c r="I477" s="292"/>
      <c r="J477" s="292"/>
      <c r="K477" s="292"/>
      <c r="L477" s="292"/>
      <c r="M477" s="292"/>
      <c r="N477" s="292"/>
      <c r="O477" s="292"/>
      <c r="P477" s="292"/>
      <c r="Q477" s="292"/>
    </row>
    <row r="478" spans="7:17" ht="14">
      <c r="G478" s="292"/>
      <c r="H478" s="292"/>
      <c r="I478" s="292"/>
      <c r="J478" s="292"/>
      <c r="K478" s="292"/>
      <c r="L478" s="292"/>
      <c r="M478" s="292"/>
      <c r="N478" s="292"/>
      <c r="O478" s="292"/>
      <c r="P478" s="292"/>
      <c r="Q478" s="292"/>
    </row>
    <row r="479" spans="7:17" ht="14">
      <c r="G479" s="292"/>
      <c r="H479" s="292"/>
      <c r="I479" s="292"/>
      <c r="J479" s="292"/>
      <c r="K479" s="292"/>
      <c r="L479" s="292"/>
      <c r="M479" s="292"/>
      <c r="N479" s="292"/>
      <c r="O479" s="292"/>
      <c r="P479" s="292"/>
      <c r="Q479" s="292"/>
    </row>
    <row r="480" spans="7:17" ht="14">
      <c r="G480" s="292"/>
      <c r="H480" s="292"/>
      <c r="I480" s="292"/>
      <c r="J480" s="292"/>
      <c r="K480" s="292"/>
      <c r="L480" s="292"/>
      <c r="M480" s="292"/>
      <c r="N480" s="292"/>
      <c r="O480" s="292"/>
      <c r="P480" s="292"/>
      <c r="Q480" s="292"/>
    </row>
    <row r="481" spans="7:17" ht="14">
      <c r="G481" s="292"/>
      <c r="H481" s="292"/>
      <c r="I481" s="292"/>
      <c r="J481" s="292"/>
      <c r="K481" s="292"/>
      <c r="L481" s="292"/>
      <c r="M481" s="292"/>
      <c r="N481" s="292"/>
      <c r="O481" s="292"/>
      <c r="P481" s="292"/>
      <c r="Q481" s="292"/>
    </row>
    <row r="482" spans="7:17" ht="14">
      <c r="G482" s="292"/>
      <c r="H482" s="292"/>
      <c r="I482" s="292"/>
      <c r="J482" s="292"/>
      <c r="K482" s="292"/>
      <c r="L482" s="292"/>
      <c r="M482" s="292"/>
      <c r="N482" s="292"/>
      <c r="O482" s="292"/>
      <c r="P482" s="292"/>
      <c r="Q482" s="292"/>
    </row>
    <row r="483" spans="7:17" ht="14">
      <c r="G483" s="292"/>
      <c r="H483" s="292"/>
      <c r="I483" s="292"/>
      <c r="J483" s="292"/>
      <c r="K483" s="292"/>
      <c r="L483" s="292"/>
      <c r="M483" s="292"/>
      <c r="N483" s="292"/>
      <c r="O483" s="292"/>
      <c r="P483" s="292"/>
      <c r="Q483" s="292"/>
    </row>
    <row r="484" spans="7:17" ht="14">
      <c r="G484" s="292"/>
      <c r="H484" s="292"/>
      <c r="I484" s="292"/>
      <c r="J484" s="292"/>
      <c r="K484" s="292"/>
      <c r="L484" s="292"/>
      <c r="M484" s="292"/>
      <c r="N484" s="292"/>
      <c r="O484" s="292"/>
      <c r="P484" s="292"/>
      <c r="Q484" s="292"/>
    </row>
    <row r="485" spans="7:17" ht="14">
      <c r="G485" s="292"/>
      <c r="H485" s="292"/>
      <c r="I485" s="292"/>
      <c r="J485" s="292"/>
      <c r="K485" s="292"/>
      <c r="L485" s="292"/>
      <c r="M485" s="292"/>
      <c r="N485" s="292"/>
      <c r="O485" s="292"/>
      <c r="P485" s="292"/>
      <c r="Q485" s="292"/>
    </row>
    <row r="486" spans="7:17" ht="14">
      <c r="G486" s="292"/>
      <c r="H486" s="292"/>
      <c r="I486" s="292"/>
      <c r="J486" s="292"/>
      <c r="K486" s="292"/>
      <c r="L486" s="292"/>
      <c r="M486" s="292"/>
      <c r="N486" s="292"/>
      <c r="O486" s="292"/>
      <c r="P486" s="292"/>
      <c r="Q486" s="292"/>
    </row>
    <row r="487" spans="7:17" ht="14">
      <c r="G487" s="292"/>
      <c r="H487" s="292"/>
      <c r="I487" s="292"/>
      <c r="J487" s="292"/>
      <c r="K487" s="292"/>
      <c r="L487" s="292"/>
      <c r="M487" s="292"/>
      <c r="N487" s="292"/>
      <c r="O487" s="292"/>
      <c r="P487" s="292"/>
      <c r="Q487" s="292"/>
    </row>
    <row r="488" spans="7:17" ht="14">
      <c r="G488" s="292"/>
      <c r="H488" s="292"/>
      <c r="I488" s="292"/>
      <c r="J488" s="292"/>
      <c r="K488" s="292"/>
      <c r="L488" s="292"/>
      <c r="M488" s="292"/>
      <c r="N488" s="292"/>
      <c r="O488" s="292"/>
      <c r="P488" s="292"/>
      <c r="Q488" s="292"/>
    </row>
    <row r="489" spans="7:17" ht="14">
      <c r="G489" s="292"/>
      <c r="H489" s="292"/>
      <c r="I489" s="292"/>
      <c r="J489" s="292"/>
      <c r="K489" s="292"/>
      <c r="L489" s="292"/>
      <c r="M489" s="292"/>
      <c r="N489" s="292"/>
      <c r="O489" s="292"/>
      <c r="P489" s="292"/>
      <c r="Q489" s="292"/>
    </row>
    <row r="490" spans="7:17" ht="14">
      <c r="G490" s="292"/>
      <c r="H490" s="292"/>
      <c r="I490" s="292"/>
      <c r="J490" s="292"/>
      <c r="K490" s="292"/>
      <c r="L490" s="292"/>
      <c r="M490" s="292"/>
      <c r="N490" s="292"/>
      <c r="O490" s="292"/>
      <c r="P490" s="292"/>
      <c r="Q490" s="292"/>
    </row>
    <row r="491" spans="7:17" ht="14">
      <c r="G491" s="292"/>
      <c r="H491" s="292"/>
      <c r="I491" s="292"/>
      <c r="J491" s="292"/>
      <c r="K491" s="292"/>
      <c r="L491" s="292"/>
      <c r="M491" s="292"/>
      <c r="N491" s="292"/>
      <c r="O491" s="292"/>
      <c r="P491" s="292"/>
      <c r="Q491" s="292"/>
    </row>
    <row r="492" spans="7:17" ht="14">
      <c r="G492" s="292"/>
      <c r="H492" s="292"/>
      <c r="I492" s="292"/>
      <c r="J492" s="292"/>
      <c r="K492" s="292"/>
      <c r="L492" s="292"/>
      <c r="M492" s="292"/>
      <c r="N492" s="292"/>
      <c r="O492" s="292"/>
      <c r="P492" s="292"/>
      <c r="Q492" s="292"/>
    </row>
    <row r="493" spans="7:17" ht="14">
      <c r="G493" s="292"/>
      <c r="H493" s="292"/>
      <c r="I493" s="292"/>
      <c r="J493" s="292"/>
      <c r="K493" s="292"/>
      <c r="L493" s="292"/>
      <c r="M493" s="292"/>
      <c r="N493" s="292"/>
      <c r="O493" s="292"/>
      <c r="P493" s="292"/>
      <c r="Q493" s="292"/>
    </row>
    <row r="494" spans="7:17" ht="14">
      <c r="G494" s="292"/>
      <c r="H494" s="292"/>
      <c r="I494" s="292"/>
      <c r="J494" s="292"/>
      <c r="K494" s="292"/>
      <c r="L494" s="292"/>
      <c r="M494" s="292"/>
      <c r="N494" s="292"/>
      <c r="O494" s="292"/>
      <c r="P494" s="292"/>
      <c r="Q494" s="292"/>
    </row>
    <row r="495" spans="7:17" ht="14">
      <c r="G495" s="292"/>
      <c r="H495" s="292"/>
      <c r="I495" s="292"/>
      <c r="J495" s="292"/>
      <c r="K495" s="292"/>
      <c r="L495" s="292"/>
      <c r="M495" s="292"/>
      <c r="N495" s="292"/>
      <c r="O495" s="292"/>
      <c r="P495" s="292"/>
      <c r="Q495" s="292"/>
    </row>
    <row r="496" spans="7:17" ht="14">
      <c r="G496" s="292"/>
      <c r="H496" s="292"/>
      <c r="I496" s="292"/>
      <c r="J496" s="292"/>
      <c r="K496" s="292"/>
      <c r="L496" s="292"/>
      <c r="M496" s="292"/>
      <c r="N496" s="292"/>
      <c r="O496" s="292"/>
      <c r="P496" s="292"/>
      <c r="Q496" s="292"/>
    </row>
  </sheetData>
  <mergeCells count="94">
    <mergeCell ref="A4:F4"/>
    <mergeCell ref="A280:F280"/>
    <mergeCell ref="A302:F302"/>
    <mergeCell ref="A313:F313"/>
    <mergeCell ref="A372:F372"/>
    <mergeCell ref="A406:F406"/>
    <mergeCell ref="A323:F323"/>
    <mergeCell ref="A329:F329"/>
    <mergeCell ref="A335:F335"/>
    <mergeCell ref="A341:F341"/>
    <mergeCell ref="A354:F354"/>
    <mergeCell ref="J280:Q280"/>
    <mergeCell ref="J281:Q281"/>
    <mergeCell ref="J282:Q282"/>
    <mergeCell ref="J283:Q283"/>
    <mergeCell ref="A348:F348"/>
    <mergeCell ref="J288:Q288"/>
    <mergeCell ref="J289:Q289"/>
    <mergeCell ref="J290:Q290"/>
    <mergeCell ref="J291:Q291"/>
    <mergeCell ref="J284:Q284"/>
    <mergeCell ref="J285:Q285"/>
    <mergeCell ref="J286:Q286"/>
    <mergeCell ref="J287:Q287"/>
    <mergeCell ref="J296:Q296"/>
    <mergeCell ref="J297:Q297"/>
    <mergeCell ref="J298:Q298"/>
    <mergeCell ref="J302:Q302"/>
    <mergeCell ref="J292:Q292"/>
    <mergeCell ref="J293:Q293"/>
    <mergeCell ref="J294:Q294"/>
    <mergeCell ref="J295:Q295"/>
    <mergeCell ref="J308:Q308"/>
    <mergeCell ref="J309:Q309"/>
    <mergeCell ref="J306:Q306"/>
    <mergeCell ref="J313:Q313"/>
    <mergeCell ref="J303:Q303"/>
    <mergeCell ref="J304:Q304"/>
    <mergeCell ref="J305:Q305"/>
    <mergeCell ref="J307:Q307"/>
    <mergeCell ref="J318:Q318"/>
    <mergeCell ref="J319:Q319"/>
    <mergeCell ref="J323:Q323"/>
    <mergeCell ref="J324:Q324"/>
    <mergeCell ref="J314:Q314"/>
    <mergeCell ref="J315:Q315"/>
    <mergeCell ref="J316:Q316"/>
    <mergeCell ref="J317:Q317"/>
    <mergeCell ref="J337:Q337"/>
    <mergeCell ref="I395:Q395"/>
    <mergeCell ref="I396:Q396"/>
    <mergeCell ref="J325:Q325"/>
    <mergeCell ref="J329:Q329"/>
    <mergeCell ref="J331:Q331"/>
    <mergeCell ref="J335:Q335"/>
    <mergeCell ref="L341:Q341"/>
    <mergeCell ref="L343:Q343"/>
    <mergeCell ref="L344:Q344"/>
    <mergeCell ref="J348:Q348"/>
    <mergeCell ref="I359:Q359"/>
    <mergeCell ref="I360:Q360"/>
    <mergeCell ref="J350:Q350"/>
    <mergeCell ref="I356:Q356"/>
    <mergeCell ref="I354:Q354"/>
    <mergeCell ref="I358:Q358"/>
    <mergeCell ref="I365:Q365"/>
    <mergeCell ref="I366:Q366"/>
    <mergeCell ref="I367:Q367"/>
    <mergeCell ref="I372:Q372"/>
    <mergeCell ref="I361:Q361"/>
    <mergeCell ref="I362:Q362"/>
    <mergeCell ref="I363:Q363"/>
    <mergeCell ref="I364:Q364"/>
    <mergeCell ref="I378:Q378"/>
    <mergeCell ref="I379:Q379"/>
    <mergeCell ref="I380:Q380"/>
    <mergeCell ref="I381:Q381"/>
    <mergeCell ref="I377:Q377"/>
    <mergeCell ref="I374:Q374"/>
    <mergeCell ref="I376:Q376"/>
    <mergeCell ref="I408:Q408"/>
    <mergeCell ref="A388:F388"/>
    <mergeCell ref="I388:Q388"/>
    <mergeCell ref="I390:Q390"/>
    <mergeCell ref="I392:Q392"/>
    <mergeCell ref="I393:Q393"/>
    <mergeCell ref="I394:Q394"/>
    <mergeCell ref="I401:Q401"/>
    <mergeCell ref="I397:Q397"/>
    <mergeCell ref="I398:Q398"/>
    <mergeCell ref="I399:Q399"/>
    <mergeCell ref="I400:Q400"/>
    <mergeCell ref="I382:Q382"/>
    <mergeCell ref="I406:Q406"/>
  </mergeCells>
  <phoneticPr fontId="0" type="noConversion"/>
  <printOptions horizontalCentered="1"/>
  <pageMargins left="0.25" right="0.25" top="0.75" bottom="0.75" header="0.5" footer="0.5"/>
  <pageSetup scale="46" orientation="landscape" r:id="rId1"/>
  <headerFooter alignWithMargins="0">
    <oddHeader>&amp;C&amp;16Cost Support Matrix</oddHeader>
    <oddFooter>Page &amp;P of &amp;N</oddFooter>
  </headerFooter>
  <rowBreaks count="2" manualBreakCount="2">
    <brk id="276" max="16" man="1"/>
    <brk id="310"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325"/>
  <sheetViews>
    <sheetView zoomScale="70" zoomScaleNormal="70" zoomScaleSheetLayoutView="66" workbookViewId="0">
      <selection activeCell="D40" sqref="D40"/>
    </sheetView>
  </sheetViews>
  <sheetFormatPr defaultColWidth="9.1796875" defaultRowHeight="12.5"/>
  <cols>
    <col min="1" max="1" width="10.26953125" style="473" customWidth="1"/>
    <col min="2" max="2" width="3" style="473" customWidth="1"/>
    <col min="3" max="3" width="3.54296875" style="473" customWidth="1"/>
    <col min="4" max="4" width="43.81640625" style="473" customWidth="1"/>
    <col min="5" max="5" width="49.81640625" style="473" customWidth="1"/>
    <col min="6" max="6" width="34.26953125" style="473" bestFit="1" customWidth="1"/>
    <col min="7" max="7" width="47.7265625" style="473" customWidth="1"/>
    <col min="8" max="8" width="3.81640625" style="473" customWidth="1"/>
    <col min="9" max="9" width="18" style="473" customWidth="1"/>
    <col min="10" max="16384" width="9.1796875" style="473"/>
  </cols>
  <sheetData>
    <row r="1" spans="1:9" ht="18">
      <c r="A1" s="1560" t="str">
        <f>+'ATT H-2A'!A4</f>
        <v>Baltimore Gas and Electric Company</v>
      </c>
      <c r="B1" s="1560"/>
      <c r="C1" s="1560"/>
      <c r="D1" s="1560"/>
      <c r="E1" s="1560"/>
      <c r="F1" s="1560"/>
      <c r="G1" s="1560"/>
    </row>
    <row r="2" spans="1:9" ht="18">
      <c r="A2" s="101"/>
      <c r="B2" s="614"/>
      <c r="C2" s="614"/>
      <c r="D2" s="614"/>
      <c r="E2" s="614"/>
      <c r="F2" s="614"/>
      <c r="G2" s="614"/>
    </row>
    <row r="3" spans="1:9" ht="18">
      <c r="A3" s="1584" t="s">
        <v>32</v>
      </c>
      <c r="B3" s="1584"/>
      <c r="C3" s="1584"/>
      <c r="D3" s="1584"/>
      <c r="E3" s="1584"/>
      <c r="F3" s="1584"/>
      <c r="G3" s="1584"/>
      <c r="I3" s="109"/>
    </row>
    <row r="5" spans="1:9" s="14" customFormat="1" ht="15.5">
      <c r="B5" s="101"/>
    </row>
    <row r="6" spans="1:9" s="14" customFormat="1" ht="15.5"/>
    <row r="7" spans="1:9" s="14" customFormat="1" ht="15.5"/>
    <row r="8" spans="1:9" s="14" customFormat="1" ht="15.5">
      <c r="C8" s="14" t="s">
        <v>33</v>
      </c>
    </row>
    <row r="9" spans="1:9" s="14" customFormat="1" ht="15.5">
      <c r="A9" s="38" t="s">
        <v>156</v>
      </c>
      <c r="B9" s="38"/>
      <c r="D9" s="14" t="s">
        <v>34</v>
      </c>
      <c r="G9" s="17" t="s">
        <v>642</v>
      </c>
      <c r="I9" s="65">
        <f>+I57+I86</f>
        <v>154074752.00561881</v>
      </c>
    </row>
    <row r="10" spans="1:9" s="14" customFormat="1" ht="15.5">
      <c r="A10" s="38"/>
      <c r="B10" s="38"/>
    </row>
    <row r="11" spans="1:9" s="14" customFormat="1" ht="15.5">
      <c r="A11" s="38" t="s">
        <v>293</v>
      </c>
      <c r="B11" s="38"/>
      <c r="D11" s="14" t="str">
        <f>I11*10000&amp;" Basis Point increase in ROE"</f>
        <v>100 Basis Point increase in ROE</v>
      </c>
      <c r="I11" s="112">
        <v>0.01</v>
      </c>
    </row>
    <row r="12" spans="1:9" s="14" customFormat="1" ht="15.5">
      <c r="A12" s="38"/>
      <c r="B12" s="38"/>
      <c r="I12" s="112"/>
    </row>
    <row r="13" spans="1:9" s="17" customFormat="1" ht="15.5">
      <c r="A13" s="38"/>
      <c r="B13" s="38"/>
      <c r="C13" s="14"/>
      <c r="D13" s="14"/>
      <c r="E13" s="14"/>
      <c r="F13" s="14"/>
      <c r="G13" s="14"/>
      <c r="H13" s="14"/>
    </row>
    <row r="14" spans="1:9" s="666" customFormat="1" ht="15.5">
      <c r="A14" s="634" t="s">
        <v>549</v>
      </c>
      <c r="B14" s="634"/>
      <c r="C14" s="634"/>
      <c r="D14" s="634"/>
      <c r="E14" s="634"/>
      <c r="F14" s="634"/>
      <c r="G14" s="634"/>
      <c r="H14" s="634"/>
      <c r="I14" s="634"/>
    </row>
    <row r="15" spans="1:9" s="14" customFormat="1" ht="15.5">
      <c r="I15" s="109"/>
    </row>
    <row r="16" spans="1:9" s="14" customFormat="1" ht="15.5">
      <c r="A16" s="1362">
        <v>59</v>
      </c>
      <c r="C16" s="28" t="s">
        <v>280</v>
      </c>
      <c r="D16" s="28"/>
      <c r="F16" s="28"/>
      <c r="G16" s="28" t="s">
        <v>587</v>
      </c>
      <c r="H16" s="28"/>
      <c r="I16" s="65">
        <f>+'ATT H-2A'!H121</f>
        <v>1624039767.6346238</v>
      </c>
    </row>
    <row r="17" spans="1:9" s="14" customFormat="1" ht="15.5">
      <c r="G17" s="28"/>
      <c r="I17" s="109"/>
    </row>
    <row r="18" spans="1:9" s="14" customFormat="1" ht="15.5">
      <c r="G18" s="28"/>
    </row>
    <row r="19" spans="1:9" s="14" customFormat="1" ht="15.5">
      <c r="A19" s="39"/>
      <c r="B19" s="27"/>
      <c r="C19" s="27" t="s">
        <v>144</v>
      </c>
      <c r="D19" s="606"/>
      <c r="E19" s="17"/>
      <c r="F19" s="17"/>
      <c r="G19" s="486"/>
      <c r="H19" s="478"/>
      <c r="I19" s="17"/>
    </row>
    <row r="20" spans="1:9" s="14" customFormat="1" ht="15.5">
      <c r="A20" s="39">
        <v>99</v>
      </c>
      <c r="B20" s="27"/>
      <c r="C20" s="27"/>
      <c r="D20" s="606" t="s">
        <v>144</v>
      </c>
      <c r="E20" s="17"/>
      <c r="F20" s="17"/>
      <c r="G20" s="486" t="s">
        <v>67</v>
      </c>
      <c r="H20" s="478"/>
      <c r="I20" s="479">
        <f>+'ATT H-2A'!H189</f>
        <v>153358369</v>
      </c>
    </row>
    <row r="21" spans="1:9" s="14" customFormat="1" ht="15.5">
      <c r="A21" s="39">
        <v>100</v>
      </c>
      <c r="B21" s="27"/>
      <c r="C21" s="27"/>
      <c r="D21" s="27" t="s">
        <v>146</v>
      </c>
      <c r="E21" s="314" t="s">
        <v>1480</v>
      </c>
      <c r="F21" s="653"/>
      <c r="G21" s="485" t="s">
        <v>54</v>
      </c>
      <c r="H21" s="638"/>
      <c r="I21" s="480">
        <f>+'ATT H-2A'!H190</f>
        <v>0</v>
      </c>
    </row>
    <row r="22" spans="1:9" s="14" customFormat="1" ht="15.5">
      <c r="A22" s="39">
        <v>101</v>
      </c>
      <c r="B22" s="27"/>
      <c r="C22" s="27"/>
      <c r="D22" s="27" t="s">
        <v>144</v>
      </c>
      <c r="E22" s="17"/>
      <c r="F22" s="606"/>
      <c r="G22" s="608" t="s">
        <v>602</v>
      </c>
      <c r="H22" s="478"/>
      <c r="I22" s="479">
        <f>+I20-I21</f>
        <v>153358369</v>
      </c>
    </row>
    <row r="23" spans="1:9" s="14" customFormat="1" ht="15.5">
      <c r="A23" s="39"/>
      <c r="B23" s="27"/>
      <c r="C23" s="27"/>
      <c r="D23" s="27"/>
      <c r="E23" s="17"/>
      <c r="F23" s="608"/>
      <c r="G23" s="27"/>
      <c r="H23" s="537"/>
      <c r="I23" s="481"/>
    </row>
    <row r="24" spans="1:9" s="14" customFormat="1" ht="15.5">
      <c r="A24" s="39">
        <v>102</v>
      </c>
      <c r="B24" s="27"/>
      <c r="C24" s="27" t="s">
        <v>252</v>
      </c>
      <c r="D24" s="1412"/>
      <c r="E24" s="17" t="s">
        <v>284</v>
      </c>
      <c r="F24" s="17"/>
      <c r="G24" s="486" t="s">
        <v>253</v>
      </c>
      <c r="H24" s="537"/>
      <c r="I24" s="479">
        <f>+'ATT H-2A'!H193</f>
        <v>0</v>
      </c>
    </row>
    <row r="25" spans="1:9" s="14" customFormat="1" ht="15.5">
      <c r="A25" s="39"/>
      <c r="B25" s="27"/>
      <c r="C25" s="27"/>
      <c r="D25" s="27"/>
      <c r="E25" s="17"/>
      <c r="F25" s="17"/>
      <c r="G25" s="486"/>
      <c r="H25" s="537"/>
      <c r="I25" s="481"/>
    </row>
    <row r="26" spans="1:9" s="14" customFormat="1" ht="15.5">
      <c r="A26" s="39"/>
      <c r="B26" s="27"/>
      <c r="C26" s="27" t="s">
        <v>130</v>
      </c>
      <c r="D26" s="1400"/>
      <c r="E26" s="17"/>
      <c r="F26" s="17"/>
      <c r="G26" s="486"/>
      <c r="H26" s="537"/>
      <c r="I26" s="481"/>
    </row>
    <row r="27" spans="1:9" s="14" customFormat="1" ht="15.5">
      <c r="A27" s="39">
        <v>103</v>
      </c>
      <c r="B27" s="27"/>
      <c r="C27" s="27"/>
      <c r="D27" s="27" t="s">
        <v>294</v>
      </c>
      <c r="E27" s="608"/>
      <c r="F27" s="608"/>
      <c r="G27" s="486" t="s">
        <v>72</v>
      </c>
      <c r="H27" s="537"/>
      <c r="I27" s="479">
        <f>+'ATT H-2A'!H196</f>
        <v>4772502489.2299995</v>
      </c>
    </row>
    <row r="28" spans="1:9" s="14" customFormat="1" ht="15.5">
      <c r="A28" s="39">
        <v>104</v>
      </c>
      <c r="B28" s="27"/>
      <c r="C28" s="27"/>
      <c r="D28" s="27" t="s">
        <v>245</v>
      </c>
      <c r="E28" s="608" t="s">
        <v>316</v>
      </c>
      <c r="F28" s="608"/>
      <c r="G28" s="486" t="s">
        <v>603</v>
      </c>
      <c r="H28" s="537"/>
      <c r="I28" s="481">
        <f>-I40</f>
        <v>0</v>
      </c>
    </row>
    <row r="29" spans="1:9" s="14" customFormat="1" ht="15.5">
      <c r="A29" s="39">
        <v>105</v>
      </c>
      <c r="B29" s="27"/>
      <c r="C29" s="27"/>
      <c r="D29" s="486" t="s">
        <v>244</v>
      </c>
      <c r="E29" s="608" t="s">
        <v>316</v>
      </c>
      <c r="F29" s="608"/>
      <c r="G29" s="486" t="s">
        <v>73</v>
      </c>
      <c r="H29" s="537"/>
      <c r="I29" s="479">
        <f>+'ATT H-2A'!H198</f>
        <v>0</v>
      </c>
    </row>
    <row r="30" spans="1:9" s="14" customFormat="1" ht="15.5">
      <c r="A30" s="39" t="s">
        <v>1420</v>
      </c>
      <c r="B30" s="27"/>
      <c r="C30" s="27"/>
      <c r="D30" s="486" t="s">
        <v>1421</v>
      </c>
      <c r="E30" s="673" t="s">
        <v>316</v>
      </c>
      <c r="F30" s="673"/>
      <c r="G30" s="485" t="s">
        <v>1422</v>
      </c>
      <c r="H30" s="638"/>
      <c r="I30" s="480">
        <f>+'ATT H-2A'!H199</f>
        <v>-3329161.23</v>
      </c>
    </row>
    <row r="31" spans="1:9" s="14" customFormat="1" ht="15.5">
      <c r="A31" s="39">
        <v>106</v>
      </c>
      <c r="B31" s="27"/>
      <c r="C31" s="27"/>
      <c r="D31" s="27" t="s">
        <v>130</v>
      </c>
      <c r="E31" s="608"/>
      <c r="F31" s="637" t="s">
        <v>1538</v>
      </c>
      <c r="G31" s="486" t="s">
        <v>1477</v>
      </c>
      <c r="H31" s="54"/>
      <c r="I31" s="481">
        <f>+I27+I28+I30+I29</f>
        <v>4769173328</v>
      </c>
    </row>
    <row r="32" spans="1:9" s="14" customFormat="1" ht="15.5">
      <c r="A32" s="39"/>
      <c r="B32" s="27"/>
      <c r="C32" s="27"/>
      <c r="D32" s="27"/>
      <c r="E32" s="17"/>
      <c r="F32" s="17"/>
      <c r="G32" s="486"/>
      <c r="H32" s="5"/>
      <c r="I32" s="481"/>
    </row>
    <row r="33" spans="1:9" s="14" customFormat="1" ht="15.5">
      <c r="A33" s="39"/>
      <c r="B33" s="27"/>
      <c r="C33" s="27" t="s">
        <v>246</v>
      </c>
      <c r="D33" s="1400"/>
      <c r="E33" s="17"/>
      <c r="F33" s="17"/>
      <c r="G33" s="486"/>
      <c r="H33" s="5"/>
      <c r="I33" s="481"/>
    </row>
    <row r="34" spans="1:9" s="14" customFormat="1" ht="15.5">
      <c r="A34" s="39">
        <v>107</v>
      </c>
      <c r="B34" s="27"/>
      <c r="C34" s="27"/>
      <c r="D34" s="27" t="s">
        <v>145</v>
      </c>
      <c r="E34" s="17"/>
      <c r="F34" s="17"/>
      <c r="G34" s="27" t="s">
        <v>68</v>
      </c>
      <c r="H34" s="5"/>
      <c r="I34" s="479">
        <f>+'ATT H-2A'!H203</f>
        <v>4153846153.8499999</v>
      </c>
    </row>
    <row r="35" spans="1:9" s="14" customFormat="1" ht="15.5">
      <c r="A35" s="39">
        <v>108</v>
      </c>
      <c r="B35" s="27"/>
      <c r="C35" s="27"/>
      <c r="D35" s="27" t="s">
        <v>380</v>
      </c>
      <c r="E35" s="17"/>
      <c r="F35" s="17" t="s">
        <v>316</v>
      </c>
      <c r="G35" s="486" t="s">
        <v>69</v>
      </c>
      <c r="H35" s="5"/>
      <c r="I35" s="479">
        <f>+'ATT H-2A'!H204</f>
        <v>-7789207.4300000025</v>
      </c>
    </row>
    <row r="36" spans="1:9" s="14" customFormat="1" ht="15.5">
      <c r="A36" s="39">
        <v>109</v>
      </c>
      <c r="B36" s="27"/>
      <c r="C36" s="27"/>
      <c r="D36" s="27" t="s">
        <v>381</v>
      </c>
      <c r="E36" s="17"/>
      <c r="F36" s="17" t="s">
        <v>382</v>
      </c>
      <c r="G36" s="27" t="s">
        <v>70</v>
      </c>
      <c r="H36" s="5"/>
      <c r="I36" s="479">
        <f>+'ATT H-2A'!H205</f>
        <v>0</v>
      </c>
    </row>
    <row r="37" spans="1:9" s="17" customFormat="1" ht="15.5">
      <c r="A37" s="39">
        <v>110</v>
      </c>
      <c r="B37" s="39"/>
      <c r="D37" s="17" t="s">
        <v>80</v>
      </c>
      <c r="F37" s="486" t="str">
        <f>+F35</f>
        <v>enter negative</v>
      </c>
      <c r="G37" s="17" t="s">
        <v>53</v>
      </c>
      <c r="I37" s="481">
        <f>+'ATT H-2A'!H206</f>
        <v>2143395</v>
      </c>
    </row>
    <row r="38" spans="1:9" s="14" customFormat="1" ht="15.5">
      <c r="A38" s="39">
        <v>111</v>
      </c>
      <c r="B38" s="27"/>
      <c r="C38" s="27"/>
      <c r="D38" s="27" t="s">
        <v>428</v>
      </c>
      <c r="E38" s="17"/>
      <c r="F38" s="17" t="s">
        <v>316</v>
      </c>
      <c r="G38" s="486" t="s">
        <v>54</v>
      </c>
      <c r="H38" s="5"/>
      <c r="I38" s="479">
        <f>+'ATT H-2A'!H207</f>
        <v>0</v>
      </c>
    </row>
    <row r="39" spans="1:9" s="14" customFormat="1" ht="15.5">
      <c r="A39" s="39">
        <v>112</v>
      </c>
      <c r="B39" s="27"/>
      <c r="C39" s="27"/>
      <c r="D39" s="27" t="s">
        <v>137</v>
      </c>
      <c r="E39" s="20"/>
      <c r="F39" s="651" t="s">
        <v>1539</v>
      </c>
      <c r="G39" s="487" t="s">
        <v>604</v>
      </c>
      <c r="H39" s="18"/>
      <c r="I39" s="603">
        <f>SUM(I34:I38)</f>
        <v>4148200341.4200001</v>
      </c>
    </row>
    <row r="40" spans="1:9" s="14" customFormat="1" ht="15.5">
      <c r="A40" s="39">
        <v>113</v>
      </c>
      <c r="B40" s="27"/>
      <c r="C40" s="27"/>
      <c r="D40" s="27" t="s">
        <v>159</v>
      </c>
      <c r="E40" s="17"/>
      <c r="F40" s="637" t="s">
        <v>1540</v>
      </c>
      <c r="G40" s="27" t="s">
        <v>74</v>
      </c>
      <c r="H40" s="5"/>
      <c r="I40" s="479">
        <f>+'ATT H-2A'!H209</f>
        <v>0</v>
      </c>
    </row>
    <row r="41" spans="1:9" s="14" customFormat="1" ht="15.5">
      <c r="A41" s="39">
        <v>114</v>
      </c>
      <c r="B41" s="27"/>
      <c r="C41" s="27"/>
      <c r="D41" s="27" t="s">
        <v>130</v>
      </c>
      <c r="E41" s="17"/>
      <c r="F41" s="17"/>
      <c r="G41" s="27" t="s">
        <v>605</v>
      </c>
      <c r="H41" s="5"/>
      <c r="I41" s="479">
        <f>I31</f>
        <v>4769173328</v>
      </c>
    </row>
    <row r="42" spans="1:9" s="14" customFormat="1" ht="15.5">
      <c r="A42" s="39">
        <v>115</v>
      </c>
      <c r="B42" s="27"/>
      <c r="C42" s="27"/>
      <c r="D42" s="27" t="s">
        <v>136</v>
      </c>
      <c r="E42" s="20"/>
      <c r="F42" s="646"/>
      <c r="G42" s="487" t="s">
        <v>606</v>
      </c>
      <c r="H42" s="635"/>
      <c r="I42" s="603">
        <f>I41+I40+I39</f>
        <v>8917373669.4200001</v>
      </c>
    </row>
    <row r="43" spans="1:9" s="14" customFormat="1" ht="15.5">
      <c r="A43" s="1362"/>
      <c r="B43" s="28"/>
      <c r="C43" s="28"/>
      <c r="D43" s="28"/>
      <c r="G43" s="28"/>
      <c r="H43" s="537"/>
      <c r="I43" s="637"/>
    </row>
    <row r="44" spans="1:9" s="14" customFormat="1" ht="15.5">
      <c r="A44" s="1362">
        <v>116</v>
      </c>
      <c r="B44" s="28"/>
      <c r="C44" s="28"/>
      <c r="D44" s="28" t="s">
        <v>338</v>
      </c>
      <c r="F44" s="28" t="s">
        <v>137</v>
      </c>
      <c r="G44" s="28" t="s">
        <v>607</v>
      </c>
      <c r="H44" s="537"/>
      <c r="I44" s="722">
        <f>IF(I42&gt;0,I39/I42,0)</f>
        <v>0.46518184559712472</v>
      </c>
    </row>
    <row r="45" spans="1:9" s="14" customFormat="1" ht="15.5">
      <c r="A45" s="1362">
        <v>117</v>
      </c>
      <c r="B45" s="28"/>
      <c r="C45" s="28"/>
      <c r="D45" s="28" t="s">
        <v>345</v>
      </c>
      <c r="F45" s="28" t="s">
        <v>159</v>
      </c>
      <c r="G45" s="28" t="s">
        <v>608</v>
      </c>
      <c r="H45" s="537"/>
      <c r="I45" s="722">
        <f>IF(I42&gt;0,I40/I42,0)</f>
        <v>0</v>
      </c>
    </row>
    <row r="46" spans="1:9" s="14" customFormat="1" ht="15.5">
      <c r="A46" s="1362">
        <v>118</v>
      </c>
      <c r="B46" s="28"/>
      <c r="C46" s="28"/>
      <c r="D46" s="28" t="s">
        <v>339</v>
      </c>
      <c r="F46" s="28" t="s">
        <v>130</v>
      </c>
      <c r="G46" s="28" t="s">
        <v>609</v>
      </c>
      <c r="H46" s="537"/>
      <c r="I46" s="722">
        <f>IF(I42&gt;0,I41/I42,0)</f>
        <v>0.53481815440287528</v>
      </c>
    </row>
    <row r="47" spans="1:9" s="14" customFormat="1" ht="15.5">
      <c r="A47" s="1362"/>
      <c r="B47" s="28"/>
      <c r="C47" s="28"/>
      <c r="D47" s="28"/>
      <c r="F47" s="657"/>
      <c r="G47" s="28"/>
      <c r="H47" s="537"/>
      <c r="I47" s="637"/>
    </row>
    <row r="48" spans="1:9" s="14" customFormat="1" ht="15.5">
      <c r="A48" s="1362">
        <v>119</v>
      </c>
      <c r="B48" s="28"/>
      <c r="C48" s="28"/>
      <c r="D48" s="28" t="s">
        <v>340</v>
      </c>
      <c r="F48" s="657" t="s">
        <v>137</v>
      </c>
      <c r="G48" s="28" t="s">
        <v>610</v>
      </c>
      <c r="H48" s="537"/>
      <c r="I48" s="723">
        <f>IF(I39&gt;0,I22/I39,0)</f>
        <v>3.6969855932151727E-2</v>
      </c>
    </row>
    <row r="49" spans="1:9" s="14" customFormat="1" ht="15.5">
      <c r="A49" s="1362">
        <v>120</v>
      </c>
      <c r="B49" s="28"/>
      <c r="C49" s="28"/>
      <c r="D49" s="28" t="s">
        <v>346</v>
      </c>
      <c r="F49" s="657" t="s">
        <v>159</v>
      </c>
      <c r="G49" s="28" t="s">
        <v>611</v>
      </c>
      <c r="H49" s="537"/>
      <c r="I49" s="723">
        <f>IF(I40&gt;0,I24/I40,0)</f>
        <v>0</v>
      </c>
    </row>
    <row r="50" spans="1:9" s="14" customFormat="1" ht="15.5">
      <c r="A50" s="1362">
        <v>121</v>
      </c>
      <c r="B50" s="28"/>
      <c r="C50" s="28"/>
      <c r="D50" s="28" t="s">
        <v>341</v>
      </c>
      <c r="E50" s="28" t="s">
        <v>110</v>
      </c>
      <c r="F50" s="657" t="s">
        <v>130</v>
      </c>
      <c r="G50" s="1364" t="s">
        <v>31</v>
      </c>
      <c r="H50" s="537"/>
      <c r="I50" s="764">
        <f>+'ATT H-2A'!H219+I11</f>
        <v>0.11499999999999999</v>
      </c>
    </row>
    <row r="51" spans="1:9" s="14" customFormat="1" ht="15.5">
      <c r="A51" s="1362"/>
      <c r="B51" s="28"/>
      <c r="C51" s="28"/>
      <c r="D51" s="28"/>
      <c r="F51" s="657"/>
      <c r="G51" s="28"/>
      <c r="H51" s="537"/>
      <c r="I51" s="16"/>
    </row>
    <row r="52" spans="1:9" s="14" customFormat="1" ht="15.5">
      <c r="A52" s="1362">
        <v>122</v>
      </c>
      <c r="B52" s="28"/>
      <c r="C52" s="28"/>
      <c r="D52" s="28" t="s">
        <v>342</v>
      </c>
      <c r="F52" s="28" t="s">
        <v>139</v>
      </c>
      <c r="G52" s="28" t="s">
        <v>612</v>
      </c>
      <c r="H52" s="659"/>
      <c r="I52" s="723">
        <f>I48*I44</f>
        <v>1.7197705813978149E-2</v>
      </c>
    </row>
    <row r="53" spans="1:9" s="14" customFormat="1" ht="15.5">
      <c r="A53" s="1362">
        <v>123</v>
      </c>
      <c r="B53" s="28"/>
      <c r="C53" s="28"/>
      <c r="D53" s="28" t="s">
        <v>347</v>
      </c>
      <c r="F53" s="28" t="s">
        <v>159</v>
      </c>
      <c r="G53" s="28" t="s">
        <v>613</v>
      </c>
      <c r="H53" s="31"/>
      <c r="I53" s="723">
        <f>I49*I45</f>
        <v>0</v>
      </c>
    </row>
    <row r="54" spans="1:9" s="14" customFormat="1" ht="15.5">
      <c r="A54" s="1362">
        <v>124</v>
      </c>
      <c r="B54" s="28"/>
      <c r="C54" s="28"/>
      <c r="D54" s="1154" t="s">
        <v>343</v>
      </c>
      <c r="E54" s="111"/>
      <c r="F54" s="1154" t="s">
        <v>130</v>
      </c>
      <c r="G54" s="1154" t="s">
        <v>614</v>
      </c>
      <c r="H54" s="660"/>
      <c r="I54" s="661">
        <f>I50*I46</f>
        <v>6.150408775633065E-2</v>
      </c>
    </row>
    <row r="55" spans="1:9" s="14" customFormat="1" ht="15.5">
      <c r="A55" s="1362">
        <v>125</v>
      </c>
      <c r="B55" s="28"/>
      <c r="C55" s="28" t="s">
        <v>138</v>
      </c>
      <c r="D55" s="28"/>
      <c r="E55" s="1"/>
      <c r="F55" s="1"/>
      <c r="G55" s="1371" t="s">
        <v>615</v>
      </c>
      <c r="H55" s="36"/>
      <c r="I55" s="32">
        <f>SUM(I52:I54)</f>
        <v>7.8701793570308792E-2</v>
      </c>
    </row>
    <row r="56" spans="1:9" s="14" customFormat="1" ht="15.5">
      <c r="A56" s="1361"/>
      <c r="B56" s="28"/>
      <c r="C56" s="28"/>
      <c r="D56" s="28"/>
      <c r="E56" s="1"/>
      <c r="F56" s="1"/>
      <c r="G56" s="1371"/>
      <c r="H56" s="36"/>
      <c r="I56" s="32"/>
    </row>
    <row r="57" spans="1:9" s="14" customFormat="1" ht="16" thickBot="1">
      <c r="A57" s="1362">
        <v>126</v>
      </c>
      <c r="B57" s="28"/>
      <c r="C57" s="28" t="s">
        <v>250</v>
      </c>
      <c r="D57" s="28"/>
      <c r="E57" s="10"/>
      <c r="F57" s="46"/>
      <c r="G57" s="1411" t="s">
        <v>616</v>
      </c>
      <c r="H57" s="48"/>
      <c r="I57" s="9">
        <f>+I55*I16</f>
        <v>127814842.54235242</v>
      </c>
    </row>
    <row r="58" spans="1:9" s="14" customFormat="1" ht="16" thickTop="1">
      <c r="A58" s="1362"/>
      <c r="B58" s="1362"/>
      <c r="C58" s="1362"/>
      <c r="F58" s="1362"/>
      <c r="G58" s="37"/>
      <c r="H58" s="537"/>
      <c r="I58" s="658"/>
    </row>
    <row r="59" spans="1:9" s="666" customFormat="1" ht="15.5">
      <c r="A59" s="634" t="s">
        <v>1418</v>
      </c>
      <c r="B59" s="634"/>
      <c r="C59" s="634"/>
      <c r="D59" s="634"/>
      <c r="E59" s="634"/>
      <c r="F59" s="634"/>
      <c r="G59" s="634"/>
      <c r="H59" s="650"/>
      <c r="I59" s="650"/>
    </row>
    <row r="60" spans="1:9" s="14" customFormat="1" ht="15.5">
      <c r="A60" s="28"/>
      <c r="B60" s="28"/>
      <c r="C60" s="1362"/>
      <c r="D60" s="1"/>
      <c r="F60" s="388"/>
      <c r="H60" s="5"/>
      <c r="I60" s="8"/>
    </row>
    <row r="61" spans="1:9" s="14" customFormat="1" ht="15.5">
      <c r="A61" s="1362" t="s">
        <v>154</v>
      </c>
      <c r="B61" s="1362"/>
      <c r="C61" s="1382" t="s">
        <v>251</v>
      </c>
      <c r="F61" s="388"/>
      <c r="G61" s="37"/>
      <c r="H61" s="662"/>
      <c r="I61" s="16"/>
    </row>
    <row r="62" spans="1:9" s="14" customFormat="1" ht="15.5">
      <c r="A62" s="1362">
        <v>127</v>
      </c>
      <c r="B62" s="1362"/>
      <c r="C62" s="1362"/>
      <c r="D62" s="14" t="s">
        <v>249</v>
      </c>
      <c r="F62" s="1367" t="s">
        <v>958</v>
      </c>
      <c r="G62" s="416"/>
      <c r="H62" s="6"/>
      <c r="I62" s="130">
        <f>+'ATT H-2A'!H231</f>
        <v>0.21</v>
      </c>
    </row>
    <row r="63" spans="1:9" s="14" customFormat="1" ht="15.5">
      <c r="A63" s="1362">
        <v>128</v>
      </c>
      <c r="B63" s="1362"/>
      <c r="C63" s="1362"/>
      <c r="D63" s="14" t="s">
        <v>248</v>
      </c>
      <c r="E63" s="1383"/>
      <c r="F63" s="1367" t="s">
        <v>958</v>
      </c>
      <c r="G63" s="416"/>
      <c r="H63" s="6"/>
      <c r="I63" s="130">
        <f>+'ATT H-2A'!H232</f>
        <v>8.2500000000000004E-2</v>
      </c>
    </row>
    <row r="64" spans="1:9" s="14" customFormat="1" ht="15.5">
      <c r="A64" s="1362">
        <v>129</v>
      </c>
      <c r="B64" s="1362"/>
      <c r="C64" s="1362"/>
      <c r="D64" s="17" t="s">
        <v>1481</v>
      </c>
      <c r="E64" s="39" t="s">
        <v>1482</v>
      </c>
      <c r="F64" s="39"/>
      <c r="G64" s="1413" t="s">
        <v>430</v>
      </c>
      <c r="H64" s="6"/>
      <c r="I64" s="130">
        <f>+'ATT H-2A'!H233</f>
        <v>0</v>
      </c>
    </row>
    <row r="65" spans="1:9" s="14" customFormat="1" ht="15.5">
      <c r="A65" s="1362">
        <v>130</v>
      </c>
      <c r="B65" s="1362"/>
      <c r="C65" s="1362"/>
      <c r="D65" s="17" t="s">
        <v>319</v>
      </c>
      <c r="E65" s="1404" t="s">
        <v>336</v>
      </c>
      <c r="F65" s="39"/>
      <c r="G65" s="17"/>
      <c r="H65" s="6"/>
      <c r="I65" s="22">
        <f>IF(I62&gt;0,1-(((1-I63)*(1-I62))/(1-I63*I62*I64)),0)</f>
        <v>0.27517499999999995</v>
      </c>
    </row>
    <row r="66" spans="1:9" s="14" customFormat="1" ht="15.5">
      <c r="A66" s="1362" t="s">
        <v>942</v>
      </c>
      <c r="B66" s="1362"/>
      <c r="C66" s="1362"/>
      <c r="D66" s="17" t="s">
        <v>308</v>
      </c>
      <c r="E66" s="1402"/>
      <c r="F66" s="39"/>
      <c r="G66" s="17"/>
      <c r="H66" s="6"/>
      <c r="I66" s="130">
        <f>+I65/(1-I65)</f>
        <v>0.37964336219087358</v>
      </c>
    </row>
    <row r="67" spans="1:9" s="14" customFormat="1" ht="15.5">
      <c r="A67" s="1362" t="s">
        <v>943</v>
      </c>
      <c r="B67" s="1362"/>
      <c r="C67" s="1362"/>
      <c r="D67" s="17" t="s">
        <v>928</v>
      </c>
      <c r="E67" s="1402" t="s">
        <v>929</v>
      </c>
      <c r="F67" s="39"/>
      <c r="G67" s="17"/>
      <c r="H67" s="836"/>
      <c r="I67" s="851">
        <f>1*1/(1-I65)</f>
        <v>1.3796433621908735</v>
      </c>
    </row>
    <row r="68" spans="1:9" s="14" customFormat="1" ht="15.5">
      <c r="A68" s="1362"/>
      <c r="B68" s="1362"/>
      <c r="C68" s="1362"/>
      <c r="D68" s="17"/>
      <c r="E68" s="17"/>
      <c r="F68" s="1403"/>
      <c r="G68" s="1404"/>
      <c r="H68" s="662"/>
      <c r="I68" s="22"/>
    </row>
    <row r="69" spans="1:9" s="14" customFormat="1" ht="15.5">
      <c r="A69" s="1362"/>
      <c r="B69" s="1382"/>
      <c r="C69" s="1407" t="s">
        <v>1466</v>
      </c>
      <c r="D69" s="17"/>
      <c r="E69" s="17"/>
      <c r="F69" s="73" t="s">
        <v>960</v>
      </c>
      <c r="G69" s="608"/>
      <c r="H69" s="662"/>
      <c r="I69" s="852"/>
    </row>
    <row r="70" spans="1:9" s="14" customFormat="1" ht="15.5">
      <c r="A70" s="1362">
        <v>132</v>
      </c>
      <c r="B70" s="1362"/>
      <c r="C70" s="1362"/>
      <c r="D70" s="17" t="s">
        <v>955</v>
      </c>
      <c r="E70" s="17"/>
      <c r="F70" s="637" t="s">
        <v>316</v>
      </c>
      <c r="G70" s="27" t="s">
        <v>1159</v>
      </c>
      <c r="H70" s="662"/>
      <c r="I70" s="780">
        <f>'ATT H-2A'!H239</f>
        <v>-20408</v>
      </c>
    </row>
    <row r="71" spans="1:9" s="14" customFormat="1" ht="15.5">
      <c r="A71" s="1362">
        <v>133</v>
      </c>
      <c r="B71" s="1362"/>
      <c r="C71" s="1362"/>
      <c r="D71" s="17" t="s">
        <v>953</v>
      </c>
      <c r="E71" s="17"/>
      <c r="F71" s="39"/>
      <c r="G71" s="608" t="str">
        <f>"(Line "&amp;A67&amp;")"</f>
        <v>(Line 131b)</v>
      </c>
      <c r="H71" s="662"/>
      <c r="I71" s="853">
        <f>1/(1-I65)</f>
        <v>1.3796433621908735</v>
      </c>
    </row>
    <row r="72" spans="1:9" s="35" customFormat="1" ht="15.5">
      <c r="A72" s="1362">
        <v>134</v>
      </c>
      <c r="B72" s="1362"/>
      <c r="C72" s="1362"/>
      <c r="D72" s="40" t="s">
        <v>237</v>
      </c>
      <c r="E72" s="40"/>
      <c r="F72" s="131"/>
      <c r="G72" s="673" t="s">
        <v>1541</v>
      </c>
      <c r="H72" s="839"/>
      <c r="I72" s="112">
        <f>'ATT H-2A'!H241</f>
        <v>0.27803363792827679</v>
      </c>
    </row>
    <row r="73" spans="1:9" s="14" customFormat="1" ht="15.5">
      <c r="A73" s="1362">
        <v>135</v>
      </c>
      <c r="B73" s="1362"/>
      <c r="C73" s="1362"/>
      <c r="D73" s="487" t="s">
        <v>247</v>
      </c>
      <c r="E73" s="20"/>
      <c r="F73" s="73"/>
      <c r="G73" s="608" t="str">
        <f>"(Line "&amp;A70&amp;" *  "&amp;A71&amp;" * "&amp;A72&amp;")"</f>
        <v>(Line 132 *  133 * 134)</v>
      </c>
      <c r="H73" s="824"/>
      <c r="I73" s="603">
        <f>I70*I71*I72</f>
        <v>-7828.248863988234</v>
      </c>
    </row>
    <row r="74" spans="1:9" s="14" customFormat="1" ht="15.5">
      <c r="A74" s="1362"/>
      <c r="B74" s="1362"/>
      <c r="C74" s="1362"/>
      <c r="D74" s="27"/>
      <c r="E74" s="17"/>
      <c r="F74" s="71"/>
      <c r="G74" s="1405"/>
      <c r="H74" s="839"/>
      <c r="I74" s="854"/>
    </row>
    <row r="75" spans="1:9" s="14" customFormat="1" ht="15.5">
      <c r="A75" s="1362"/>
      <c r="B75" s="1371"/>
      <c r="C75" s="1371" t="s">
        <v>782</v>
      </c>
      <c r="D75" s="27"/>
      <c r="E75" s="17"/>
      <c r="F75" s="71"/>
      <c r="G75" s="1405"/>
      <c r="H75" s="839"/>
      <c r="I75" s="854"/>
    </row>
    <row r="76" spans="1:9" s="14" customFormat="1" ht="15.5">
      <c r="A76" s="1362" t="s">
        <v>944</v>
      </c>
      <c r="B76" s="28"/>
      <c r="C76" s="28"/>
      <c r="D76" s="27" t="s">
        <v>787</v>
      </c>
      <c r="E76" s="17"/>
      <c r="F76" s="73" t="s">
        <v>959</v>
      </c>
      <c r="G76" s="17" t="s">
        <v>931</v>
      </c>
      <c r="H76" s="839"/>
      <c r="I76" s="891">
        <f>'ATT H-2A'!H245</f>
        <v>815721.89062499988</v>
      </c>
    </row>
    <row r="77" spans="1:9" s="14" customFormat="1" ht="15.5">
      <c r="A77" s="1362" t="s">
        <v>930</v>
      </c>
      <c r="B77" s="28"/>
      <c r="C77" s="28"/>
      <c r="D77" s="27" t="s">
        <v>970</v>
      </c>
      <c r="E77" s="17"/>
      <c r="F77" s="73" t="s">
        <v>959</v>
      </c>
      <c r="G77" s="17" t="s">
        <v>933</v>
      </c>
      <c r="H77" s="839"/>
      <c r="I77" s="891">
        <f>'ATT H-2A'!H246</f>
        <v>-9715279</v>
      </c>
    </row>
    <row r="78" spans="1:9" s="14" customFormat="1" ht="15.5">
      <c r="A78" s="1362" t="s">
        <v>932</v>
      </c>
      <c r="B78" s="28"/>
      <c r="C78" s="28"/>
      <c r="D78" s="27" t="s">
        <v>974</v>
      </c>
      <c r="E78" s="17"/>
      <c r="F78" s="73" t="s">
        <v>959</v>
      </c>
      <c r="G78" s="17" t="s">
        <v>935</v>
      </c>
      <c r="H78" s="839"/>
      <c r="I78" s="891">
        <f>'ATT H-2A'!H247</f>
        <v>0</v>
      </c>
    </row>
    <row r="79" spans="1:9" s="14" customFormat="1" ht="15.5">
      <c r="A79" s="1362" t="s">
        <v>934</v>
      </c>
      <c r="B79" s="28"/>
      <c r="C79" s="28"/>
      <c r="D79" s="40" t="s">
        <v>789</v>
      </c>
      <c r="E79" s="314"/>
      <c r="F79" s="88" t="s">
        <v>959</v>
      </c>
      <c r="G79" s="314" t="s">
        <v>937</v>
      </c>
      <c r="H79" s="825"/>
      <c r="I79" s="892">
        <f>'ATT H-2A'!H248</f>
        <v>453192</v>
      </c>
    </row>
    <row r="80" spans="1:9" s="14" customFormat="1" ht="15.5">
      <c r="A80" s="1362" t="s">
        <v>936</v>
      </c>
      <c r="B80" s="28"/>
      <c r="C80" s="28"/>
      <c r="D80" s="27" t="s">
        <v>939</v>
      </c>
      <c r="E80" s="17"/>
      <c r="F80" s="73"/>
      <c r="G80" s="608" t="str">
        <f>"(Line "&amp;A76&amp;" + "&amp;A77&amp;" + "&amp;A78&amp;" + "&amp;A79&amp;")"</f>
        <v>(Line 136a + 136b + 136c + 136d)</v>
      </c>
      <c r="H80" s="839"/>
      <c r="I80" s="37">
        <f>I76+I77+I78+I79</f>
        <v>-8446365.109375</v>
      </c>
    </row>
    <row r="81" spans="1:10" s="14" customFormat="1" ht="15.5">
      <c r="A81" s="1362" t="s">
        <v>938</v>
      </c>
      <c r="B81" s="1362"/>
      <c r="C81" s="1362"/>
      <c r="D81" s="314" t="s">
        <v>1417</v>
      </c>
      <c r="E81" s="314"/>
      <c r="F81" s="1406"/>
      <c r="G81" s="673" t="str">
        <f>"(Line "&amp;A67&amp;")"</f>
        <v>(Line 131b)</v>
      </c>
      <c r="H81" s="825"/>
      <c r="I81" s="853">
        <f>1/(1-I65)</f>
        <v>1.3796433621908735</v>
      </c>
    </row>
    <row r="82" spans="1:10" s="14" customFormat="1" ht="15.5">
      <c r="A82" s="1362" t="s">
        <v>940</v>
      </c>
      <c r="B82" s="1362"/>
      <c r="C82" s="1362"/>
      <c r="D82" s="27" t="s">
        <v>782</v>
      </c>
      <c r="E82" s="17"/>
      <c r="F82" s="71" t="s">
        <v>154</v>
      </c>
      <c r="G82" s="608" t="str">
        <f>"(Line "&amp;A80&amp;" * "&amp;A81&amp;")"</f>
        <v>(Line 136e * 136f)</v>
      </c>
      <c r="H82" s="839"/>
      <c r="I82" s="29">
        <f>I80*I81</f>
        <v>-11652971.55778981</v>
      </c>
      <c r="J82" s="849"/>
    </row>
    <row r="83" spans="1:10" s="14" customFormat="1" ht="15.5">
      <c r="A83" s="1362"/>
      <c r="B83" s="1362"/>
      <c r="D83" s="17"/>
      <c r="E83" s="1403"/>
      <c r="F83" s="1404"/>
      <c r="G83" s="1414"/>
      <c r="H83" s="22"/>
      <c r="I83" s="17"/>
    </row>
    <row r="84" spans="1:10" s="14" customFormat="1" ht="15.5">
      <c r="A84" s="1362" t="s">
        <v>941</v>
      </c>
      <c r="B84" s="1362"/>
      <c r="C84" s="1" t="s">
        <v>281</v>
      </c>
      <c r="E84" s="14" t="s">
        <v>285</v>
      </c>
      <c r="F84" s="388"/>
      <c r="G84" s="37" t="s">
        <v>957</v>
      </c>
      <c r="H84" s="5"/>
      <c r="I84" s="724">
        <f>+I66*(1-I52/I55)*I57</f>
        <v>37920709.269920193</v>
      </c>
    </row>
    <row r="85" spans="1:10" s="14" customFormat="1" ht="15.5">
      <c r="A85" s="1362"/>
      <c r="B85" s="1362"/>
      <c r="C85" s="1362"/>
      <c r="D85" s="28"/>
      <c r="F85" s="1362"/>
      <c r="G85" s="37"/>
      <c r="H85" s="34"/>
      <c r="I85" s="26"/>
    </row>
    <row r="86" spans="1:10" s="14" customFormat="1" ht="16" thickBot="1">
      <c r="A86" s="1362">
        <v>137</v>
      </c>
      <c r="B86" s="1362"/>
      <c r="C86" s="47" t="s">
        <v>126</v>
      </c>
      <c r="D86" s="47"/>
      <c r="E86" s="10"/>
      <c r="F86" s="76"/>
      <c r="G86" s="10" t="str">
        <f>"(Line "&amp;A73&amp;" + "&amp;A82&amp;" + "&amp;A84&amp;")"</f>
        <v>(Line 135 + 136g + 136h)</v>
      </c>
      <c r="H86" s="811"/>
      <c r="I86" s="70">
        <f>+I84+I73+I82</f>
        <v>26259909.463266395</v>
      </c>
    </row>
    <row r="87" spans="1:10" s="14" customFormat="1" ht="16" thickTop="1">
      <c r="A87" s="4"/>
      <c r="B87" s="4"/>
      <c r="C87" s="4"/>
      <c r="D87" s="663"/>
      <c r="E87" s="5"/>
      <c r="F87" s="38"/>
      <c r="G87" s="482"/>
      <c r="H87" s="664"/>
      <c r="I87" s="665"/>
    </row>
    <row r="88" spans="1:10" s="14" customFormat="1" ht="15.5"/>
    <row r="317" spans="1:6">
      <c r="A317" s="477"/>
      <c r="B317" s="477"/>
      <c r="C317" s="477"/>
      <c r="D317" s="477"/>
      <c r="E317" s="477"/>
      <c r="F317" s="477"/>
    </row>
    <row r="318" spans="1:6">
      <c r="A318" s="477"/>
      <c r="B318" s="477"/>
      <c r="C318" s="477"/>
      <c r="D318" s="477"/>
      <c r="E318" s="477"/>
      <c r="F318" s="477"/>
    </row>
    <row r="319" spans="1:6">
      <c r="A319" s="477"/>
      <c r="B319" s="477"/>
      <c r="C319" s="477"/>
      <c r="D319" s="477"/>
      <c r="E319" s="477"/>
      <c r="F319" s="477"/>
    </row>
    <row r="320" spans="1:6">
      <c r="A320" s="477"/>
      <c r="B320" s="477"/>
      <c r="C320" s="477"/>
      <c r="D320" s="477"/>
      <c r="E320" s="477"/>
      <c r="F320" s="477"/>
    </row>
    <row r="321" spans="1:6">
      <c r="A321" s="477"/>
      <c r="B321" s="477"/>
      <c r="C321" s="477"/>
      <c r="D321" s="477"/>
      <c r="E321" s="477"/>
      <c r="F321" s="477"/>
    </row>
    <row r="322" spans="1:6">
      <c r="A322" s="477"/>
      <c r="B322" s="477"/>
      <c r="C322" s="477"/>
      <c r="D322" s="477"/>
      <c r="E322" s="477"/>
      <c r="F322" s="477"/>
    </row>
    <row r="323" spans="1:6">
      <c r="A323" s="477"/>
      <c r="B323" s="477"/>
      <c r="C323" s="477"/>
      <c r="D323" s="477"/>
      <c r="E323" s="477"/>
      <c r="F323" s="477"/>
    </row>
    <row r="324" spans="1:6">
      <c r="A324" s="477"/>
      <c r="B324" s="477"/>
      <c r="C324" s="477"/>
      <c r="D324" s="477"/>
      <c r="E324" s="477"/>
      <c r="F324" s="477"/>
    </row>
    <row r="325" spans="1:6">
      <c r="A325" s="477"/>
      <c r="B325" s="477"/>
      <c r="C325" s="477"/>
      <c r="D325" s="477"/>
      <c r="E325" s="477"/>
      <c r="F325" s="477"/>
    </row>
  </sheetData>
  <mergeCells count="2">
    <mergeCell ref="A3:G3"/>
    <mergeCell ref="A1:G1"/>
  </mergeCells>
  <phoneticPr fontId="0" type="noConversion"/>
  <printOptions horizontalCentered="1"/>
  <pageMargins left="0.75" right="0.75" top="1" bottom="0.75" header="0.5" footer="0.5"/>
  <pageSetup scale="42" orientation="portrait" r:id="rId1"/>
  <headerFooter alignWithMargins="0">
    <oddHeader>&amp;R&amp;"Times New Roman,Bold"&amp;16Appendix A
Page &amp;P of &amp;N</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87"/>
  <sheetViews>
    <sheetView zoomScale="98" zoomScaleNormal="98" zoomScaleSheetLayoutView="50" workbookViewId="0"/>
  </sheetViews>
  <sheetFormatPr defaultColWidth="9.1796875" defaultRowHeight="12.5"/>
  <cols>
    <col min="1" max="1" width="8.7265625" style="473" customWidth="1"/>
    <col min="2" max="2" width="4.26953125" style="473" customWidth="1"/>
    <col min="3" max="3" width="58" style="473" customWidth="1"/>
    <col min="4" max="4" width="27.453125" style="473" customWidth="1"/>
    <col min="5" max="5" width="16.7265625" style="473" customWidth="1"/>
    <col min="6" max="6" width="43.453125" style="473" customWidth="1"/>
    <col min="7" max="7" width="18.26953125" style="473" customWidth="1"/>
    <col min="8" max="8" width="22.26953125" style="473" bestFit="1" customWidth="1"/>
    <col min="9" max="9" width="15.81640625" style="473" customWidth="1"/>
    <col min="10" max="10" width="13.7265625" style="473" customWidth="1"/>
    <col min="11" max="11" width="21" style="473" customWidth="1"/>
    <col min="12" max="12" width="16" style="473" customWidth="1"/>
    <col min="13" max="18" width="13.26953125" style="473" bestFit="1" customWidth="1"/>
    <col min="19" max="19" width="20.1796875" style="473" bestFit="1" customWidth="1"/>
    <col min="20" max="20" width="14.26953125" style="473" bestFit="1" customWidth="1"/>
    <col min="21" max="21" width="14" style="473" bestFit="1" customWidth="1"/>
    <col min="22" max="22" width="58.81640625" style="473" bestFit="1" customWidth="1"/>
    <col min="23" max="16384" width="9.1796875" style="473"/>
  </cols>
  <sheetData>
    <row r="1" spans="1:33" ht="21.25" customHeight="1">
      <c r="A1" s="177"/>
      <c r="B1" s="163"/>
      <c r="D1" s="84"/>
      <c r="E1" s="85"/>
      <c r="F1" s="86"/>
      <c r="G1" s="615" t="str">
        <f>+'ATT H-2A'!A4</f>
        <v>Baltimore Gas and Electric Company</v>
      </c>
      <c r="H1" s="97"/>
      <c r="I1" s="97"/>
      <c r="J1" s="97"/>
      <c r="K1" s="97"/>
      <c r="L1" s="97"/>
      <c r="M1" s="97"/>
      <c r="N1" s="97"/>
      <c r="O1" s="97"/>
      <c r="P1" s="97"/>
      <c r="Q1" s="97"/>
    </row>
    <row r="2" spans="1:33" ht="10.5" customHeight="1">
      <c r="A2" s="318"/>
      <c r="B2" s="163"/>
      <c r="D2" s="84"/>
      <c r="E2" s="85"/>
      <c r="F2" s="86"/>
      <c r="H2" s="97"/>
      <c r="I2" s="97"/>
      <c r="J2" s="97"/>
      <c r="K2" s="97"/>
      <c r="L2" s="97"/>
      <c r="M2" s="97"/>
      <c r="N2" s="97"/>
      <c r="O2" s="97"/>
      <c r="P2" s="97"/>
      <c r="Q2" s="389"/>
    </row>
    <row r="3" spans="1:33" ht="21.25" customHeight="1">
      <c r="A3" s="318"/>
      <c r="B3" s="163"/>
      <c r="D3" s="84"/>
      <c r="E3" s="85"/>
      <c r="F3" s="86"/>
      <c r="G3" s="615" t="s">
        <v>48</v>
      </c>
      <c r="H3" s="97"/>
      <c r="I3" s="97"/>
      <c r="J3" s="97"/>
      <c r="K3" s="97"/>
      <c r="L3" s="781"/>
      <c r="M3" s="97"/>
      <c r="N3" s="97"/>
      <c r="O3" s="97"/>
      <c r="P3" s="97"/>
      <c r="Q3" s="389"/>
    </row>
    <row r="4" spans="1:33" ht="21.25" customHeight="1">
      <c r="A4" s="318"/>
      <c r="B4" s="163"/>
      <c r="D4" s="84"/>
      <c r="E4" s="85"/>
      <c r="F4" s="86"/>
      <c r="G4" s="615"/>
      <c r="H4" s="97"/>
      <c r="I4" s="97"/>
      <c r="J4" s="97"/>
      <c r="K4" s="97"/>
      <c r="L4" s="781"/>
      <c r="M4" s="781"/>
      <c r="N4" s="97"/>
      <c r="O4" s="97"/>
      <c r="P4" s="97"/>
      <c r="Q4" s="725"/>
    </row>
    <row r="5" spans="1:33" ht="21.25" customHeight="1" thickBot="1">
      <c r="A5" s="264" t="s">
        <v>535</v>
      </c>
      <c r="B5" s="163"/>
      <c r="D5" s="84"/>
      <c r="E5" s="85"/>
      <c r="F5" s="86"/>
      <c r="G5" s="97"/>
      <c r="H5" s="97"/>
      <c r="I5" s="97"/>
      <c r="J5" s="97"/>
      <c r="K5" s="97"/>
      <c r="L5" s="97"/>
      <c r="M5" s="97"/>
      <c r="N5" s="97"/>
      <c r="O5" s="97"/>
      <c r="P5" s="97"/>
      <c r="Q5" s="97"/>
    </row>
    <row r="6" spans="1:33" ht="26.5" customHeight="1">
      <c r="A6" s="1569" t="s">
        <v>10</v>
      </c>
      <c r="B6" s="1570"/>
      <c r="C6" s="1570"/>
      <c r="D6" s="1570"/>
      <c r="E6" s="1570"/>
      <c r="F6" s="1571"/>
      <c r="G6" s="296" t="s">
        <v>457</v>
      </c>
      <c r="H6" s="753" t="s">
        <v>442</v>
      </c>
      <c r="I6" s="753" t="s">
        <v>458</v>
      </c>
      <c r="J6" s="1572" t="s">
        <v>389</v>
      </c>
      <c r="K6" s="1574"/>
      <c r="L6" s="1574"/>
      <c r="M6" s="1574"/>
      <c r="N6" s="1574"/>
      <c r="O6" s="1574"/>
      <c r="P6" s="1574"/>
      <c r="Q6" s="1606"/>
      <c r="S6" s="620"/>
      <c r="T6" s="483"/>
      <c r="U6" s="483"/>
      <c r="V6" s="483"/>
      <c r="W6" s="483"/>
      <c r="X6" s="483"/>
      <c r="Y6" s="483"/>
      <c r="Z6" s="483"/>
      <c r="AA6" s="483"/>
      <c r="AB6" s="483"/>
      <c r="AC6" s="483"/>
      <c r="AD6" s="483"/>
      <c r="AE6" s="483"/>
      <c r="AF6" s="483"/>
      <c r="AG6" s="483"/>
    </row>
    <row r="7" spans="1:33" ht="15.75" customHeight="1">
      <c r="A7" s="194"/>
      <c r="B7" s="184" t="s">
        <v>286</v>
      </c>
      <c r="C7" s="84"/>
      <c r="D7" s="174"/>
      <c r="E7" s="139"/>
      <c r="F7" s="195"/>
      <c r="G7" s="284"/>
      <c r="H7" s="99"/>
      <c r="I7" s="99"/>
      <c r="J7" s="1577"/>
      <c r="K7" s="1566"/>
      <c r="L7" s="1566"/>
      <c r="M7" s="1566"/>
      <c r="N7" s="1566"/>
      <c r="O7" s="1566"/>
      <c r="P7" s="1566"/>
      <c r="Q7" s="1603"/>
      <c r="S7" s="483"/>
      <c r="T7" s="483"/>
      <c r="U7" s="483"/>
      <c r="V7" s="483"/>
      <c r="W7" s="483"/>
      <c r="X7" s="483"/>
      <c r="Y7" s="483"/>
      <c r="Z7" s="483"/>
      <c r="AA7" s="483"/>
      <c r="AB7" s="483"/>
      <c r="AC7" s="483"/>
      <c r="AD7" s="483"/>
      <c r="AE7" s="483"/>
      <c r="AF7" s="483"/>
      <c r="AG7" s="483"/>
    </row>
    <row r="8" spans="1:33" ht="15.75" hidden="1" customHeight="1">
      <c r="A8" s="201">
        <f>'Exh F - AA-BL Items'!A17</f>
        <v>7</v>
      </c>
      <c r="B8" s="174"/>
      <c r="C8" s="138" t="str">
        <f>'Exh F - AA-BL Items'!C17</f>
        <v>Common Plant In Service - Electric</v>
      </c>
      <c r="D8" s="84"/>
      <c r="E8" s="147" t="str">
        <f>'Exh F - AA-BL Items'!E17</f>
        <v>(Note A)</v>
      </c>
      <c r="F8" s="202" t="str">
        <f>'Exh F - AA-BL Items'!F17</f>
        <v>(Line 24)</v>
      </c>
      <c r="G8" s="406">
        <v>467649847</v>
      </c>
      <c r="H8" s="398">
        <v>380199326</v>
      </c>
      <c r="I8" s="398">
        <v>87450521</v>
      </c>
      <c r="J8" s="1617" t="s">
        <v>35</v>
      </c>
      <c r="K8" s="1618"/>
      <c r="L8" s="1618"/>
      <c r="M8" s="1618"/>
      <c r="N8" s="1618"/>
      <c r="O8" s="1618"/>
      <c r="P8" s="1618"/>
      <c r="Q8" s="1619"/>
      <c r="S8" s="483"/>
      <c r="T8" s="483"/>
      <c r="U8" s="483"/>
      <c r="V8" s="483"/>
      <c r="W8" s="483"/>
      <c r="X8" s="483"/>
      <c r="Y8" s="483"/>
      <c r="Z8" s="483"/>
      <c r="AA8" s="483"/>
      <c r="AB8" s="483"/>
      <c r="AC8" s="483"/>
      <c r="AD8" s="483"/>
      <c r="AE8" s="483"/>
      <c r="AF8" s="483"/>
      <c r="AG8" s="483"/>
    </row>
    <row r="9" spans="1:33" ht="43.5" customHeight="1">
      <c r="A9" s="201">
        <v>6</v>
      </c>
      <c r="B9" s="174"/>
      <c r="C9" s="138" t="s">
        <v>302</v>
      </c>
      <c r="D9" s="84"/>
      <c r="E9" s="147"/>
      <c r="F9" s="202" t="s">
        <v>721</v>
      </c>
      <c r="G9" s="406">
        <v>9356623428</v>
      </c>
      <c r="H9" s="910"/>
      <c r="I9" s="910"/>
      <c r="J9" s="1600"/>
      <c r="K9" s="1600"/>
      <c r="L9" s="1600"/>
      <c r="M9" s="1600"/>
      <c r="N9" s="1600"/>
      <c r="O9" s="1600"/>
      <c r="P9" s="1600"/>
      <c r="Q9" s="1601"/>
      <c r="S9" s="483"/>
      <c r="T9" s="483"/>
      <c r="U9" s="483"/>
      <c r="V9" s="483"/>
      <c r="W9" s="483"/>
      <c r="X9" s="483"/>
      <c r="Y9" s="483"/>
      <c r="Z9" s="483"/>
      <c r="AA9" s="483"/>
      <c r="AB9" s="483"/>
      <c r="AC9" s="483"/>
      <c r="AD9" s="483"/>
      <c r="AE9" s="483"/>
      <c r="AF9" s="483"/>
      <c r="AG9" s="483"/>
    </row>
    <row r="10" spans="1:33" ht="30.75" customHeight="1">
      <c r="A10" s="201">
        <v>9</v>
      </c>
      <c r="B10" s="23"/>
      <c r="C10" s="138" t="s">
        <v>150</v>
      </c>
      <c r="D10" s="72"/>
      <c r="E10" s="83"/>
      <c r="F10" s="202" t="s">
        <v>722</v>
      </c>
      <c r="G10" s="406">
        <v>3107775321</v>
      </c>
      <c r="H10" s="910"/>
      <c r="I10" s="910"/>
      <c r="J10" s="1600"/>
      <c r="K10" s="1600"/>
      <c r="L10" s="1600"/>
      <c r="M10" s="1600"/>
      <c r="N10" s="1600"/>
      <c r="O10" s="1600"/>
      <c r="P10" s="1600"/>
      <c r="Q10" s="1601"/>
      <c r="S10" s="483"/>
      <c r="T10" s="483"/>
      <c r="U10" s="483"/>
      <c r="V10" s="483"/>
      <c r="W10" s="483"/>
      <c r="X10" s="483"/>
      <c r="Y10" s="483"/>
      <c r="Z10" s="483"/>
      <c r="AA10" s="483"/>
      <c r="AB10" s="483"/>
      <c r="AC10" s="483"/>
      <c r="AD10" s="483"/>
      <c r="AE10" s="483"/>
      <c r="AF10" s="483"/>
      <c r="AG10" s="483"/>
    </row>
    <row r="11" spans="1:33" ht="44.5" customHeight="1">
      <c r="A11" s="201">
        <f>'Exh F - AA-BL Items'!A21</f>
        <v>10</v>
      </c>
      <c r="B11" s="174"/>
      <c r="C11" s="138" t="str">
        <f>'Exh F - AA-BL Items'!C21</f>
        <v>Accumulated Intangible Amortization</v>
      </c>
      <c r="D11" s="139"/>
      <c r="E11" s="147" t="str">
        <f>'Exh F - AA-BL Items'!E21</f>
        <v>(Note A)</v>
      </c>
      <c r="F11" s="191" t="s">
        <v>723</v>
      </c>
      <c r="G11" s="406">
        <v>69530275</v>
      </c>
      <c r="H11" s="910"/>
      <c r="I11" s="910"/>
      <c r="J11" s="1600"/>
      <c r="K11" s="1600"/>
      <c r="L11" s="1600"/>
      <c r="M11" s="1600"/>
      <c r="N11" s="1600"/>
      <c r="O11" s="1600"/>
      <c r="P11" s="1600"/>
      <c r="Q11" s="1601"/>
      <c r="S11" s="483"/>
      <c r="T11" s="483"/>
      <c r="U11" s="793"/>
      <c r="V11" s="483"/>
      <c r="W11" s="483"/>
      <c r="X11" s="483"/>
      <c r="Y11" s="483"/>
      <c r="Z11" s="483"/>
      <c r="AA11" s="483"/>
      <c r="AB11" s="483"/>
      <c r="AC11" s="483"/>
      <c r="AD11" s="483"/>
      <c r="AE11" s="483"/>
      <c r="AF11" s="483"/>
      <c r="AG11" s="483"/>
    </row>
    <row r="12" spans="1:33" ht="15.5">
      <c r="A12" s="201">
        <f>'Exh F - AA-BL Items'!A22</f>
        <v>11</v>
      </c>
      <c r="B12" s="174"/>
      <c r="C12" s="138" t="str">
        <f>'Exh F - AA-BL Items'!C22</f>
        <v>Accumulated Common Amortization - Electric</v>
      </c>
      <c r="D12" s="139"/>
      <c r="E12" s="147" t="str">
        <f>'Exh F - AA-BL Items'!E22</f>
        <v>(Note A)</v>
      </c>
      <c r="F12" s="191" t="str">
        <f>'Exh F - AA-BL Items'!F22</f>
        <v>p356 (See Attachment 9, line 16, column i)</v>
      </c>
      <c r="G12" s="1431">
        <v>191688991.22204101</v>
      </c>
      <c r="H12" s="1494"/>
      <c r="I12" s="910"/>
      <c r="J12" s="1597"/>
      <c r="K12" s="1597"/>
      <c r="L12" s="1597"/>
      <c r="M12" s="1597"/>
      <c r="N12" s="1597"/>
      <c r="O12" s="1597"/>
      <c r="P12" s="1597"/>
      <c r="Q12" s="1602"/>
      <c r="S12" s="483"/>
      <c r="T12" s="483"/>
      <c r="U12" s="483"/>
      <c r="V12" s="483"/>
      <c r="W12" s="483"/>
      <c r="X12" s="483"/>
      <c r="Y12" s="483"/>
      <c r="Z12" s="483"/>
      <c r="AA12" s="483"/>
      <c r="AB12" s="483"/>
      <c r="AC12" s="483"/>
      <c r="AD12" s="483"/>
      <c r="AE12" s="483"/>
      <c r="AF12" s="483"/>
      <c r="AG12" s="483"/>
    </row>
    <row r="13" spans="1:33" ht="60" customHeight="1">
      <c r="A13" s="201">
        <f>'Exh F - AA-BL Items'!A23</f>
        <v>12</v>
      </c>
      <c r="B13" s="84"/>
      <c r="C13" s="148" t="str">
        <f>'Exh F - AA-BL Items'!C23</f>
        <v>Accumulated Common Plant Depreciation - Electric</v>
      </c>
      <c r="D13" s="139"/>
      <c r="E13" s="147" t="str">
        <f>'Exh F - AA-BL Items'!E23</f>
        <v>(Note A)</v>
      </c>
      <c r="F13" s="191" t="s">
        <v>153</v>
      </c>
      <c r="G13" s="1431">
        <f>283376639-191688991</f>
        <v>91687648</v>
      </c>
      <c r="H13" s="1430"/>
      <c r="I13" s="910"/>
      <c r="J13" s="1600"/>
      <c r="K13" s="1600"/>
      <c r="L13" s="1600"/>
      <c r="M13" s="1600"/>
      <c r="N13" s="1600"/>
      <c r="O13" s="1600"/>
      <c r="P13" s="1600"/>
      <c r="Q13" s="1601"/>
      <c r="S13" s="477"/>
      <c r="T13" s="477"/>
      <c r="U13" s="477"/>
      <c r="V13" s="477"/>
      <c r="W13" s="477"/>
      <c r="X13" s="477"/>
      <c r="Y13" s="477"/>
      <c r="Z13" s="483"/>
      <c r="AA13" s="483"/>
      <c r="AB13" s="483"/>
      <c r="AC13" s="483"/>
      <c r="AD13" s="483"/>
      <c r="AE13" s="483"/>
      <c r="AF13" s="483"/>
      <c r="AG13" s="483"/>
    </row>
    <row r="14" spans="1:33" ht="15.75" customHeight="1">
      <c r="A14" s="194"/>
      <c r="B14" s="184" t="s">
        <v>236</v>
      </c>
      <c r="C14" s="84"/>
      <c r="D14" s="84"/>
      <c r="E14" s="200"/>
      <c r="F14" s="202"/>
      <c r="G14" s="284"/>
      <c r="H14" s="99"/>
      <c r="I14" s="99"/>
      <c r="J14" s="1597"/>
      <c r="K14" s="1597"/>
      <c r="L14" s="1597"/>
      <c r="M14" s="1597"/>
      <c r="N14" s="1597"/>
      <c r="O14" s="1597"/>
      <c r="P14" s="1597"/>
      <c r="Q14" s="1602"/>
      <c r="S14" s="557"/>
      <c r="T14" s="760"/>
      <c r="U14" s="477"/>
      <c r="V14" s="477"/>
      <c r="W14" s="477"/>
      <c r="X14" s="477"/>
      <c r="Y14" s="477"/>
      <c r="Z14" s="483"/>
      <c r="AA14" s="483"/>
      <c r="AB14" s="483"/>
      <c r="AC14" s="483"/>
      <c r="AD14" s="483"/>
      <c r="AE14" s="483"/>
      <c r="AF14" s="483"/>
      <c r="AG14" s="483"/>
    </row>
    <row r="15" spans="1:33" ht="27.75" customHeight="1">
      <c r="A15" s="201">
        <v>19</v>
      </c>
      <c r="B15" s="84"/>
      <c r="C15" s="148" t="s">
        <v>271</v>
      </c>
      <c r="D15" s="5"/>
      <c r="E15" s="83"/>
      <c r="F15" s="191" t="s">
        <v>173</v>
      </c>
      <c r="G15" s="406">
        <v>2213743620</v>
      </c>
      <c r="H15" s="910"/>
      <c r="I15" s="910"/>
      <c r="J15" s="1600"/>
      <c r="K15" s="1600"/>
      <c r="L15" s="1600"/>
      <c r="M15" s="1600"/>
      <c r="N15" s="1600"/>
      <c r="O15" s="1600"/>
      <c r="P15" s="1600"/>
      <c r="Q15" s="1601"/>
      <c r="S15" s="477"/>
      <c r="T15" s="782"/>
      <c r="U15" s="477"/>
      <c r="V15" s="477"/>
      <c r="W15" s="477"/>
      <c r="X15" s="477"/>
      <c r="Y15" s="477"/>
      <c r="Z15" s="483"/>
      <c r="AA15" s="483"/>
      <c r="AB15" s="483"/>
      <c r="AC15" s="483"/>
      <c r="AD15" s="483"/>
      <c r="AE15" s="483"/>
      <c r="AF15" s="483"/>
      <c r="AG15" s="483"/>
    </row>
    <row r="16" spans="1:33" ht="40.75" customHeight="1">
      <c r="A16" s="201">
        <v>23</v>
      </c>
      <c r="B16" s="13"/>
      <c r="C16" s="148" t="s">
        <v>724</v>
      </c>
      <c r="D16" s="72"/>
      <c r="E16" s="806"/>
      <c r="F16" s="191" t="s">
        <v>725</v>
      </c>
      <c r="G16" s="406">
        <f>137619853+187073307</f>
        <v>324693160</v>
      </c>
      <c r="H16" s="910"/>
      <c r="I16" s="910"/>
      <c r="J16" s="1600"/>
      <c r="K16" s="1600"/>
      <c r="L16" s="1600"/>
      <c r="M16" s="1600"/>
      <c r="N16" s="1600"/>
      <c r="O16" s="1600"/>
      <c r="P16" s="1600"/>
      <c r="Q16" s="1601"/>
      <c r="S16" s="477"/>
      <c r="T16" s="760"/>
      <c r="U16" s="760"/>
      <c r="V16" s="477"/>
      <c r="W16" s="477"/>
      <c r="X16" s="477"/>
      <c r="Y16" s="477"/>
      <c r="Z16" s="483"/>
      <c r="AA16" s="483"/>
      <c r="AB16" s="483"/>
      <c r="AC16" s="483"/>
      <c r="AD16" s="483"/>
      <c r="AE16" s="483"/>
      <c r="AF16" s="483"/>
      <c r="AG16" s="483"/>
    </row>
    <row r="17" spans="1:33" ht="72" customHeight="1">
      <c r="A17" s="201">
        <f>'Exh F - AA-BL Items'!A40</f>
        <v>24</v>
      </c>
      <c r="B17" s="163"/>
      <c r="C17" s="155" t="str">
        <f>'Exh F - AA-BL Items'!C40</f>
        <v>Common Plant (Electric Only)</v>
      </c>
      <c r="D17" s="139"/>
      <c r="E17" s="147" t="str">
        <f>'Exh F - AA-BL Items'!E40</f>
        <v>(Notes A)</v>
      </c>
      <c r="F17" s="191" t="s">
        <v>153</v>
      </c>
      <c r="G17" s="406">
        <v>858512499</v>
      </c>
      <c r="H17" s="910"/>
      <c r="I17" s="910"/>
      <c r="J17" s="1600"/>
      <c r="K17" s="1600"/>
      <c r="L17" s="1600"/>
      <c r="M17" s="1600"/>
      <c r="N17" s="1600"/>
      <c r="O17" s="1600"/>
      <c r="P17" s="1600"/>
      <c r="Q17" s="1601"/>
      <c r="S17" s="483"/>
      <c r="T17" s="767"/>
      <c r="U17" s="483"/>
      <c r="V17" s="483"/>
      <c r="W17" s="483"/>
      <c r="X17" s="483"/>
      <c r="Y17" s="483"/>
      <c r="Z17" s="483"/>
      <c r="AA17" s="483"/>
      <c r="AB17" s="483"/>
      <c r="AC17" s="483"/>
      <c r="AD17" s="483"/>
      <c r="AE17" s="483"/>
      <c r="AF17" s="483"/>
      <c r="AG17" s="483"/>
    </row>
    <row r="18" spans="1:33" ht="22.75" customHeight="1">
      <c r="A18" s="201"/>
      <c r="B18" s="184" t="s">
        <v>195</v>
      </c>
      <c r="C18" s="184"/>
      <c r="D18" s="158"/>
      <c r="E18" s="156"/>
      <c r="F18" s="191"/>
      <c r="G18" s="361"/>
      <c r="H18" s="472"/>
      <c r="I18" s="472"/>
      <c r="J18" s="1597"/>
      <c r="K18" s="1597"/>
      <c r="L18" s="1597"/>
      <c r="M18" s="1597"/>
      <c r="N18" s="1597"/>
      <c r="O18" s="1597"/>
      <c r="P18" s="1597"/>
      <c r="Q18" s="1602"/>
      <c r="S18" s="483"/>
      <c r="T18" s="767"/>
      <c r="U18" s="483"/>
      <c r="V18" s="483"/>
      <c r="W18" s="483"/>
      <c r="X18" s="483"/>
      <c r="Y18" s="483"/>
      <c r="Z18" s="483"/>
      <c r="AA18" s="483"/>
      <c r="AB18" s="483"/>
      <c r="AC18" s="483"/>
      <c r="AD18" s="483"/>
      <c r="AE18" s="483"/>
      <c r="AF18" s="483"/>
      <c r="AG18" s="483"/>
    </row>
    <row r="19" spans="1:33" s="483" customFormat="1" ht="25.5" customHeight="1">
      <c r="A19" s="201">
        <v>30</v>
      </c>
      <c r="B19" s="13"/>
      <c r="C19" s="159" t="s">
        <v>301</v>
      </c>
      <c r="D19" s="16"/>
      <c r="E19" s="83"/>
      <c r="F19" s="202" t="s">
        <v>726</v>
      </c>
      <c r="G19" s="406">
        <v>494626096</v>
      </c>
      <c r="H19" s="910"/>
      <c r="I19" s="910"/>
      <c r="J19" s="1600"/>
      <c r="K19" s="1600"/>
      <c r="L19" s="1600"/>
      <c r="M19" s="1600"/>
      <c r="N19" s="1600"/>
      <c r="O19" s="1600"/>
      <c r="P19" s="1600"/>
      <c r="Q19" s="1601"/>
      <c r="T19" s="767"/>
    </row>
    <row r="20" spans="1:33" ht="18" customHeight="1">
      <c r="A20" s="201">
        <v>31</v>
      </c>
      <c r="B20" s="13"/>
      <c r="C20" s="155" t="s">
        <v>344</v>
      </c>
      <c r="D20" s="5"/>
      <c r="E20" s="83"/>
      <c r="F20" s="191" t="s">
        <v>772</v>
      </c>
      <c r="G20" s="406">
        <v>37803717</v>
      </c>
      <c r="H20" s="910"/>
      <c r="I20" s="910"/>
      <c r="J20" s="1600"/>
      <c r="K20" s="1600"/>
      <c r="L20" s="1600"/>
      <c r="M20" s="1600"/>
      <c r="N20" s="1600"/>
      <c r="O20" s="1600"/>
      <c r="P20" s="1600"/>
      <c r="Q20" s="1601"/>
      <c r="S20" s="483"/>
      <c r="T20" s="767"/>
      <c r="U20" s="483"/>
      <c r="V20" s="483"/>
      <c r="W20" s="483"/>
      <c r="X20" s="483"/>
      <c r="Y20" s="483"/>
      <c r="Z20" s="483"/>
      <c r="AA20" s="483"/>
      <c r="AB20" s="483"/>
      <c r="AC20" s="483"/>
      <c r="AD20" s="483"/>
      <c r="AE20" s="483"/>
      <c r="AF20" s="483"/>
      <c r="AG20" s="483"/>
    </row>
    <row r="21" spans="1:33" ht="26.5" customHeight="1">
      <c r="A21" s="201">
        <v>32</v>
      </c>
      <c r="B21" s="35"/>
      <c r="C21" s="155" t="s">
        <v>310</v>
      </c>
      <c r="D21" s="72"/>
      <c r="E21" s="147" t="s">
        <v>296</v>
      </c>
      <c r="F21" s="191" t="s">
        <v>323</v>
      </c>
      <c r="G21" s="406">
        <v>69530275</v>
      </c>
      <c r="H21" s="910"/>
      <c r="I21" s="910"/>
      <c r="J21" s="1600"/>
      <c r="K21" s="1600"/>
      <c r="L21" s="1600"/>
      <c r="M21" s="1600"/>
      <c r="N21" s="1600"/>
      <c r="O21" s="1600"/>
      <c r="P21" s="1600"/>
      <c r="Q21" s="1601"/>
      <c r="S21" s="483"/>
      <c r="T21" s="483"/>
      <c r="U21" s="483"/>
      <c r="V21" s="483"/>
      <c r="W21" s="483"/>
      <c r="X21" s="483"/>
      <c r="Y21" s="483"/>
      <c r="Z21" s="483"/>
      <c r="AA21" s="483"/>
      <c r="AB21" s="483"/>
      <c r="AC21" s="483"/>
      <c r="AD21" s="483"/>
      <c r="AE21" s="483"/>
      <c r="AF21" s="483"/>
      <c r="AG21" s="483"/>
    </row>
    <row r="22" spans="1:33" ht="15.5">
      <c r="A22" s="201"/>
      <c r="B22" s="157" t="s">
        <v>192</v>
      </c>
      <c r="C22" s="138"/>
      <c r="D22" s="138"/>
      <c r="E22" s="217"/>
      <c r="F22" s="218"/>
      <c r="G22" s="284"/>
      <c r="H22" s="99"/>
      <c r="I22" s="99"/>
      <c r="J22" s="1600"/>
      <c r="K22" s="1600"/>
      <c r="L22" s="1600"/>
      <c r="M22" s="1600"/>
      <c r="N22" s="1600"/>
      <c r="O22" s="1600"/>
      <c r="P22" s="1600"/>
      <c r="Q22" s="1601"/>
    </row>
    <row r="23" spans="1:33" ht="30.75" customHeight="1">
      <c r="A23" s="488">
        <v>47</v>
      </c>
      <c r="B23" s="138"/>
      <c r="C23" s="419" t="str">
        <f>'Exh F - AA-BL Items'!C82</f>
        <v>Undistributed Stores Exp</v>
      </c>
      <c r="D23" s="469"/>
      <c r="E23" s="420" t="str">
        <f>'Exh F - AA-BL Items'!E82</f>
        <v>(Note A)</v>
      </c>
      <c r="F23" s="421" t="str">
        <f>'Exh F - AA-BL Items'!F82</f>
        <v>p227.6c &amp; 16.c (See Attachment 9, line 30, column e)</v>
      </c>
      <c r="G23" s="422">
        <v>0</v>
      </c>
      <c r="H23" s="423"/>
      <c r="I23" s="423"/>
      <c r="J23" s="1600"/>
      <c r="K23" s="1600"/>
      <c r="L23" s="1600"/>
      <c r="M23" s="1600"/>
      <c r="N23" s="1600"/>
      <c r="O23" s="1600"/>
      <c r="P23" s="1600"/>
      <c r="Q23" s="1601"/>
    </row>
    <row r="24" spans="1:33" ht="6.75" customHeight="1">
      <c r="A24" s="207"/>
      <c r="B24" s="138"/>
      <c r="C24" s="138"/>
      <c r="D24" s="148"/>
      <c r="E24" s="187"/>
      <c r="F24" s="219"/>
      <c r="G24" s="406"/>
      <c r="H24" s="398"/>
      <c r="I24" s="398"/>
      <c r="J24" s="1600"/>
      <c r="K24" s="1600"/>
      <c r="L24" s="1600"/>
      <c r="M24" s="1600"/>
      <c r="N24" s="1600"/>
      <c r="O24" s="1600"/>
      <c r="P24" s="1600"/>
      <c r="Q24" s="1601"/>
    </row>
    <row r="25" spans="1:33" ht="15.5">
      <c r="A25" s="201"/>
      <c r="B25" s="184" t="s">
        <v>181</v>
      </c>
      <c r="C25" s="148"/>
      <c r="D25" s="148"/>
      <c r="E25" s="200"/>
      <c r="F25" s="226"/>
      <c r="G25" s="284"/>
      <c r="H25" s="99"/>
      <c r="I25" s="99"/>
      <c r="J25" s="1326"/>
      <c r="K25" s="1326"/>
      <c r="L25" s="1326"/>
      <c r="M25" s="1326"/>
      <c r="N25" s="1326"/>
      <c r="O25" s="1326"/>
      <c r="P25" s="1326"/>
      <c r="Q25" s="1152"/>
    </row>
    <row r="26" spans="1:33" ht="15.5">
      <c r="A26" s="201">
        <v>65</v>
      </c>
      <c r="B26" s="184"/>
      <c r="C26" s="159" t="str">
        <f>'ATT H-2A'!C131</f>
        <v xml:space="preserve">     Plus Transmission Lease Payments</v>
      </c>
      <c r="D26" s="148"/>
      <c r="E26" s="230" t="str">
        <f>+'ATT H-2A'!E131</f>
        <v>(Note A)</v>
      </c>
      <c r="F26" s="280" t="str">
        <f>+'ATT H-2A'!F131</f>
        <v>P200.4.c</v>
      </c>
      <c r="G26" s="326">
        <v>0</v>
      </c>
      <c r="H26" s="325"/>
      <c r="I26" s="325"/>
      <c r="J26" s="1600"/>
      <c r="K26" s="1600"/>
      <c r="L26" s="1600"/>
      <c r="M26" s="1600"/>
      <c r="N26" s="1600"/>
      <c r="O26" s="1600"/>
      <c r="P26" s="1600"/>
      <c r="Q26" s="1601"/>
    </row>
    <row r="27" spans="1:33" ht="30.75" customHeight="1">
      <c r="A27" s="489">
        <v>67</v>
      </c>
      <c r="B27" s="182"/>
      <c r="C27" s="424" t="str">
        <f>'Exh F - AA-BL Items'!C111</f>
        <v>Common Plant O&amp;M</v>
      </c>
      <c r="D27" s="469"/>
      <c r="E27" s="425" t="str">
        <f>'Exh F - AA-BL Items'!E111</f>
        <v>(Note A)</v>
      </c>
      <c r="F27" s="428" t="s">
        <v>65</v>
      </c>
      <c r="G27" s="422">
        <v>0</v>
      </c>
      <c r="H27" s="423"/>
      <c r="I27" s="423"/>
      <c r="J27" s="1620"/>
      <c r="K27" s="1620"/>
      <c r="L27" s="1620"/>
      <c r="M27" s="1620"/>
      <c r="N27" s="1620"/>
      <c r="O27" s="1620"/>
      <c r="P27" s="1620"/>
      <c r="Q27" s="1621"/>
    </row>
    <row r="28" spans="1:33" ht="8.5" customHeight="1">
      <c r="A28" s="201"/>
      <c r="B28" s="182"/>
      <c r="C28" s="159"/>
      <c r="D28" s="148"/>
      <c r="E28" s="224"/>
      <c r="F28" s="191"/>
      <c r="G28" s="406"/>
      <c r="H28" s="398"/>
      <c r="I28" s="398"/>
      <c r="J28" s="1153"/>
      <c r="K28" s="937"/>
      <c r="L28" s="937"/>
      <c r="M28" s="937"/>
      <c r="N28" s="937"/>
      <c r="O28" s="937"/>
      <c r="P28" s="937"/>
      <c r="Q28" s="938"/>
    </row>
    <row r="29" spans="1:33" ht="15.5">
      <c r="A29" s="207"/>
      <c r="B29" s="178" t="s">
        <v>149</v>
      </c>
      <c r="C29" s="174"/>
      <c r="D29" s="84"/>
      <c r="E29" s="139"/>
      <c r="F29" s="228"/>
      <c r="G29" s="284"/>
      <c r="H29" s="99"/>
      <c r="I29" s="99"/>
      <c r="J29" s="97"/>
      <c r="K29" s="97"/>
      <c r="L29" s="937"/>
      <c r="M29" s="937"/>
      <c r="N29" s="937"/>
      <c r="O29" s="937"/>
      <c r="P29" s="937"/>
      <c r="Q29" s="938"/>
    </row>
    <row r="30" spans="1:33" ht="29.25" customHeight="1">
      <c r="A30" s="489">
        <v>85</v>
      </c>
      <c r="B30" s="69"/>
      <c r="C30" s="424" t="s">
        <v>727</v>
      </c>
      <c r="D30" s="33"/>
      <c r="E30" s="89"/>
      <c r="F30" s="421" t="s">
        <v>1455</v>
      </c>
      <c r="G30" s="1431">
        <v>66804761</v>
      </c>
      <c r="H30" s="1430">
        <f>+G30-I30</f>
        <v>67988646.120000005</v>
      </c>
      <c r="I30" s="1430">
        <f>-863890-319995.12</f>
        <v>-1183885.1200000001</v>
      </c>
      <c r="J30" s="1600" t="s">
        <v>1622</v>
      </c>
      <c r="K30" s="1600"/>
      <c r="L30" s="1600"/>
      <c r="M30" s="1600"/>
      <c r="N30" s="1600"/>
      <c r="O30" s="1600"/>
      <c r="P30" s="1600"/>
      <c r="Q30" s="1601"/>
      <c r="S30" s="609"/>
      <c r="T30" s="483"/>
      <c r="U30" s="483"/>
      <c r="V30" s="483"/>
      <c r="W30" s="483"/>
      <c r="X30" s="483"/>
      <c r="Y30" s="483"/>
      <c r="Z30" s="483"/>
      <c r="AA30" s="483"/>
      <c r="AB30" s="483"/>
      <c r="AC30" s="483"/>
    </row>
    <row r="31" spans="1:33" ht="27.75" customHeight="1">
      <c r="A31" s="489">
        <v>86</v>
      </c>
      <c r="B31" s="69"/>
      <c r="C31" s="424" t="s">
        <v>290</v>
      </c>
      <c r="D31" s="72"/>
      <c r="E31" s="72"/>
      <c r="F31" s="421" t="s">
        <v>1455</v>
      </c>
      <c r="G31" s="1431">
        <v>19752985</v>
      </c>
      <c r="H31" s="1430">
        <f>+G31-I31</f>
        <v>19752985</v>
      </c>
      <c r="I31" s="1430">
        <v>0</v>
      </c>
      <c r="J31" s="1597"/>
      <c r="K31" s="1597"/>
      <c r="L31" s="1597"/>
      <c r="M31" s="1597"/>
      <c r="N31" s="1597"/>
      <c r="O31" s="1597"/>
      <c r="P31" s="1597"/>
      <c r="Q31" s="1602"/>
      <c r="S31" s="609"/>
      <c r="T31" s="483"/>
      <c r="U31" s="483"/>
      <c r="V31" s="483"/>
      <c r="W31" s="483"/>
      <c r="X31" s="483"/>
      <c r="Y31" s="483"/>
      <c r="Z31" s="483"/>
      <c r="AA31" s="483"/>
      <c r="AB31" s="483"/>
      <c r="AC31" s="483"/>
    </row>
    <row r="32" spans="1:33" ht="27.75" customHeight="1">
      <c r="A32" s="201">
        <v>87</v>
      </c>
      <c r="B32" s="229"/>
      <c r="C32" s="166" t="str">
        <f>'Exh F - AA-BL Items'!C140</f>
        <v>Intangible Amortization</v>
      </c>
      <c r="D32" s="169"/>
      <c r="E32" s="230" t="str">
        <f>'Exh F - AA-BL Items'!E140</f>
        <v>(Note A)</v>
      </c>
      <c r="F32" s="421" t="s">
        <v>1455</v>
      </c>
      <c r="G32" s="1431">
        <v>20319409</v>
      </c>
      <c r="H32" s="1430">
        <f>+G32-I32</f>
        <v>16324793</v>
      </c>
      <c r="I32" s="1430">
        <v>3994616</v>
      </c>
      <c r="J32" s="1600" t="s">
        <v>1623</v>
      </c>
      <c r="K32" s="1600"/>
      <c r="L32" s="1600"/>
      <c r="M32" s="1600"/>
      <c r="N32" s="1600"/>
      <c r="O32" s="1600"/>
      <c r="P32" s="1600"/>
      <c r="Q32" s="1601"/>
      <c r="S32" s="609"/>
      <c r="T32" s="483"/>
      <c r="U32" s="483"/>
      <c r="V32" s="483"/>
      <c r="W32" s="483"/>
      <c r="X32" s="483"/>
      <c r="Y32" s="483"/>
      <c r="Z32" s="483"/>
      <c r="AA32" s="483"/>
      <c r="AB32" s="483"/>
      <c r="AC32" s="483"/>
    </row>
    <row r="33" spans="1:29" ht="30.25" customHeight="1">
      <c r="A33" s="201">
        <v>90</v>
      </c>
      <c r="B33" s="229"/>
      <c r="C33" s="166" t="s">
        <v>241</v>
      </c>
      <c r="D33" s="89"/>
      <c r="E33" s="539"/>
      <c r="F33" s="421" t="s">
        <v>1455</v>
      </c>
      <c r="G33" s="1431">
        <f>+'ATT H-2A'!H169</f>
        <v>4741786.5319692949</v>
      </c>
      <c r="H33" s="1430">
        <f>+G33-I33</f>
        <v>4741786.5319692949</v>
      </c>
      <c r="I33" s="1430">
        <v>0</v>
      </c>
      <c r="J33" s="1600"/>
      <c r="K33" s="1600"/>
      <c r="L33" s="1600"/>
      <c r="M33" s="1600"/>
      <c r="N33" s="1600"/>
      <c r="O33" s="1600"/>
      <c r="P33" s="1600"/>
      <c r="Q33" s="1601"/>
      <c r="S33" s="609"/>
      <c r="T33" s="483"/>
      <c r="U33" s="483"/>
      <c r="V33" s="483"/>
      <c r="W33" s="483"/>
      <c r="X33" s="483"/>
      <c r="Y33" s="483"/>
      <c r="Z33" s="483"/>
      <c r="AA33" s="483"/>
      <c r="AB33" s="483"/>
      <c r="AC33" s="483"/>
    </row>
    <row r="34" spans="1:29" ht="45" customHeight="1">
      <c r="A34" s="201">
        <v>91</v>
      </c>
      <c r="B34" s="216"/>
      <c r="C34" s="165" t="str">
        <f>'Exh F - AA-BL Items'!C145</f>
        <v>Common Depreciation - Electric Only</v>
      </c>
      <c r="D34" s="169"/>
      <c r="E34" s="230" t="str">
        <f>'Exh F - AA-BL Items'!E145</f>
        <v>(Note A)</v>
      </c>
      <c r="F34" s="421" t="s">
        <v>1455</v>
      </c>
      <c r="G34" s="1431">
        <v>19368817</v>
      </c>
      <c r="H34" s="1430">
        <f t="shared" ref="H34:H35" si="0">+G34-I34</f>
        <v>19368817</v>
      </c>
      <c r="I34" s="1430">
        <v>0</v>
      </c>
      <c r="J34" s="1604" t="s">
        <v>1542</v>
      </c>
      <c r="K34" s="1604"/>
      <c r="L34" s="1604"/>
      <c r="M34" s="1604"/>
      <c r="N34" s="1604"/>
      <c r="O34" s="1604"/>
      <c r="P34" s="1604"/>
      <c r="Q34" s="1605"/>
      <c r="S34" s="609"/>
      <c r="T34" s="483"/>
      <c r="U34" s="483"/>
      <c r="V34" s="483"/>
      <c r="W34" s="483"/>
      <c r="X34" s="483"/>
      <c r="Y34" s="483"/>
      <c r="Z34" s="483"/>
      <c r="AA34" s="483"/>
      <c r="AB34" s="483"/>
      <c r="AC34" s="483"/>
    </row>
    <row r="35" spans="1:29" ht="36.65" customHeight="1" thickBot="1">
      <c r="A35" s="254">
        <v>92</v>
      </c>
      <c r="B35" s="265"/>
      <c r="C35" s="266" t="str">
        <f>'Exh F - AA-BL Items'!C146</f>
        <v>Common Amortization - Electric Only</v>
      </c>
      <c r="D35" s="470"/>
      <c r="E35" s="267" t="str">
        <f>'Exh F - AA-BL Items'!E146</f>
        <v>(Note A)</v>
      </c>
      <c r="F35" s="268" t="s">
        <v>1455</v>
      </c>
      <c r="G35" s="1432">
        <v>46756526</v>
      </c>
      <c r="H35" s="1433">
        <f t="shared" si="0"/>
        <v>46615899</v>
      </c>
      <c r="I35" s="1433">
        <v>140627</v>
      </c>
      <c r="J35" s="1622" t="s">
        <v>1584</v>
      </c>
      <c r="K35" s="1622"/>
      <c r="L35" s="1622"/>
      <c r="M35" s="1622"/>
      <c r="N35" s="1622"/>
      <c r="O35" s="1622"/>
      <c r="P35" s="1622"/>
      <c r="Q35" s="1623"/>
      <c r="S35" s="609"/>
      <c r="T35" s="483"/>
      <c r="U35" s="483"/>
      <c r="V35" s="483"/>
      <c r="W35" s="483"/>
      <c r="X35" s="483"/>
      <c r="Y35" s="483"/>
      <c r="Z35" s="483"/>
      <c r="AA35" s="483"/>
      <c r="AB35" s="483"/>
      <c r="AC35" s="483"/>
    </row>
    <row r="36" spans="1:29" ht="11.25" customHeight="1">
      <c r="F36" s="483"/>
      <c r="G36" s="97"/>
      <c r="H36" s="97"/>
      <c r="I36" s="97"/>
      <c r="J36" s="97"/>
      <c r="K36" s="97"/>
      <c r="L36" s="97"/>
      <c r="M36" s="97"/>
      <c r="N36" s="97"/>
      <c r="O36" s="97"/>
      <c r="P36" s="97"/>
      <c r="Q36" s="97"/>
      <c r="S36" s="483"/>
      <c r="T36" s="483"/>
      <c r="U36" s="483"/>
      <c r="V36" s="483"/>
      <c r="W36" s="483"/>
      <c r="X36" s="483"/>
      <c r="Y36" s="483"/>
      <c r="Z36" s="483"/>
      <c r="AA36" s="483"/>
      <c r="AB36" s="483"/>
      <c r="AC36" s="483"/>
    </row>
    <row r="37" spans="1:29" ht="13">
      <c r="G37" s="1495"/>
      <c r="H37" s="1495"/>
      <c r="I37" s="97"/>
      <c r="J37" s="97"/>
      <c r="K37" s="781"/>
      <c r="L37" s="97"/>
      <c r="M37" s="97"/>
      <c r="N37" s="97"/>
      <c r="O37" s="97"/>
      <c r="P37" s="97"/>
      <c r="Q37" s="97"/>
      <c r="S37" s="483"/>
      <c r="T37" s="483"/>
      <c r="U37" s="483"/>
      <c r="V37" s="483"/>
      <c r="W37" s="483"/>
      <c r="X37" s="483"/>
      <c r="Y37" s="483"/>
      <c r="Z37" s="483"/>
      <c r="AA37" s="483"/>
      <c r="AB37" s="483"/>
      <c r="AC37" s="483"/>
    </row>
    <row r="38" spans="1:29" ht="20.5" thickBot="1">
      <c r="A38" s="264" t="s">
        <v>537</v>
      </c>
      <c r="G38" s="97"/>
      <c r="H38" s="97"/>
      <c r="I38" s="97"/>
      <c r="J38" s="97"/>
      <c r="K38" s="781"/>
      <c r="L38" s="97"/>
      <c r="M38" s="97"/>
      <c r="N38" s="97"/>
      <c r="O38" s="97"/>
      <c r="P38" s="97"/>
      <c r="Q38" s="97"/>
      <c r="S38" s="483"/>
      <c r="T38" s="483"/>
      <c r="U38" s="483"/>
      <c r="V38" s="483"/>
      <c r="W38" s="483"/>
      <c r="X38" s="483"/>
      <c r="Y38" s="483"/>
      <c r="Z38" s="483"/>
      <c r="AA38" s="483"/>
      <c r="AB38" s="483"/>
      <c r="AC38" s="483"/>
    </row>
    <row r="39" spans="1:29" ht="50.25" customHeight="1">
      <c r="A39" s="1569" t="s">
        <v>10</v>
      </c>
      <c r="B39" s="1570"/>
      <c r="C39" s="1570"/>
      <c r="D39" s="1570"/>
      <c r="E39" s="1570"/>
      <c r="F39" s="1571"/>
      <c r="G39" s="619" t="s">
        <v>457</v>
      </c>
      <c r="H39" s="619" t="s">
        <v>461</v>
      </c>
      <c r="I39" s="619" t="s">
        <v>529</v>
      </c>
      <c r="J39" s="1572" t="s">
        <v>389</v>
      </c>
      <c r="K39" s="1574"/>
      <c r="L39" s="1574"/>
      <c r="M39" s="1574"/>
      <c r="N39" s="1574"/>
      <c r="O39" s="1574"/>
      <c r="P39" s="1574"/>
      <c r="Q39" s="1606"/>
      <c r="S39" s="483"/>
      <c r="T39" s="483"/>
      <c r="U39" s="483"/>
      <c r="V39" s="483"/>
      <c r="W39" s="483"/>
      <c r="X39" s="483"/>
      <c r="Y39" s="483"/>
      <c r="Z39" s="483"/>
      <c r="AA39" s="483"/>
      <c r="AB39" s="483"/>
      <c r="AC39" s="483"/>
    </row>
    <row r="40" spans="1:29" ht="33.75" customHeight="1">
      <c r="A40" s="201">
        <f>+'Exh F - AA-BL Items'!A45</f>
        <v>28</v>
      </c>
      <c r="B40" s="182"/>
      <c r="C40" s="157" t="str">
        <f>+'Exh F - AA-BL Items'!C45</f>
        <v>Plant Held for Future Use (Including Land)</v>
      </c>
      <c r="D40" s="147"/>
      <c r="E40" s="230" t="str">
        <f>+'Exh F - AA-BL Items'!E45</f>
        <v>(Note C)</v>
      </c>
      <c r="F40" s="280" t="str">
        <f>+'Exh F - AA-BL Items'!F45</f>
        <v>p214 (See Attachment 9, line 30, column c)</v>
      </c>
      <c r="G40" s="934">
        <v>24976206</v>
      </c>
      <c r="H40" s="538" t="str">
        <f>+J39</f>
        <v>Details</v>
      </c>
      <c r="I40" s="538">
        <f>+I46</f>
        <v>12302571</v>
      </c>
      <c r="J40" s="1624" t="s">
        <v>43</v>
      </c>
      <c r="K40" s="1624"/>
      <c r="L40" s="1624"/>
      <c r="M40" s="1624"/>
      <c r="N40" s="1624"/>
      <c r="O40" s="1624"/>
      <c r="P40" s="1624"/>
      <c r="Q40" s="1625"/>
      <c r="S40" s="483"/>
      <c r="T40" s="483"/>
      <c r="U40" s="483"/>
      <c r="V40" s="483"/>
      <c r="W40" s="483"/>
      <c r="X40" s="483"/>
      <c r="Y40" s="483"/>
      <c r="Z40" s="483"/>
      <c r="AA40" s="483"/>
      <c r="AB40" s="483"/>
      <c r="AC40" s="483"/>
    </row>
    <row r="41" spans="1:29" ht="15.75" hidden="1" customHeight="1">
      <c r="A41" s="201"/>
      <c r="B41" s="184" t="s">
        <v>180</v>
      </c>
      <c r="C41" s="138"/>
      <c r="D41" s="148"/>
      <c r="E41" s="156"/>
      <c r="F41" s="198"/>
      <c r="G41" s="99"/>
      <c r="H41" s="472"/>
      <c r="I41" s="472"/>
      <c r="J41" s="1565"/>
      <c r="K41" s="1565"/>
      <c r="L41" s="1565"/>
      <c r="M41" s="1565"/>
      <c r="N41" s="1565"/>
      <c r="O41" s="1565"/>
      <c r="P41" s="1565"/>
      <c r="Q41" s="1626"/>
      <c r="S41" s="483"/>
      <c r="T41" s="483"/>
      <c r="U41" s="483"/>
      <c r="V41" s="483"/>
      <c r="W41" s="483"/>
      <c r="X41" s="483"/>
      <c r="Y41" s="483"/>
      <c r="Z41" s="483"/>
      <c r="AA41" s="483"/>
      <c r="AB41" s="483"/>
      <c r="AC41" s="483"/>
    </row>
    <row r="42" spans="1:29" ht="16.5" hidden="1" customHeight="1" thickBot="1">
      <c r="A42" s="201">
        <v>73</v>
      </c>
      <c r="B42" s="216"/>
      <c r="C42" s="165" t="s">
        <v>332</v>
      </c>
      <c r="D42" s="147"/>
      <c r="E42" s="187" t="s">
        <v>297</v>
      </c>
      <c r="F42" s="219" t="s">
        <v>147</v>
      </c>
      <c r="G42" s="134" t="s">
        <v>460</v>
      </c>
      <c r="H42" s="610" t="s">
        <v>460</v>
      </c>
      <c r="I42" s="610" t="s">
        <v>460</v>
      </c>
      <c r="J42" s="1565" t="s">
        <v>459</v>
      </c>
      <c r="K42" s="1565"/>
      <c r="L42" s="1565"/>
      <c r="M42" s="1565"/>
      <c r="N42" s="1565"/>
      <c r="O42" s="1565"/>
      <c r="P42" s="1565"/>
      <c r="Q42" s="1626"/>
      <c r="S42" s="483"/>
      <c r="T42" s="483"/>
      <c r="U42" s="483"/>
      <c r="V42" s="483"/>
      <c r="W42" s="483"/>
      <c r="X42" s="483"/>
      <c r="Y42" s="483"/>
      <c r="Z42" s="483"/>
      <c r="AA42" s="483"/>
      <c r="AB42" s="483"/>
      <c r="AC42" s="483"/>
    </row>
    <row r="43" spans="1:29" ht="15.5">
      <c r="A43" s="201"/>
      <c r="B43" s="216"/>
      <c r="C43" s="165"/>
      <c r="D43" s="148"/>
      <c r="E43" s="230"/>
      <c r="F43" s="219"/>
      <c r="G43" s="99"/>
      <c r="H43" s="1161">
        <v>1663287</v>
      </c>
      <c r="I43" s="472"/>
      <c r="J43" s="472">
        <v>1</v>
      </c>
      <c r="K43" s="472" t="s">
        <v>1580</v>
      </c>
      <c r="L43" s="472"/>
      <c r="M43" s="472"/>
      <c r="N43" s="472"/>
      <c r="O43" s="472"/>
      <c r="P43" s="472"/>
      <c r="Q43" s="369"/>
      <c r="S43" s="483"/>
      <c r="T43" s="483"/>
      <c r="U43" s="483"/>
      <c r="V43" s="483"/>
      <c r="W43" s="483"/>
      <c r="X43" s="483"/>
      <c r="Y43" s="483"/>
      <c r="Z43" s="483"/>
      <c r="AA43" s="483"/>
      <c r="AB43" s="483"/>
      <c r="AC43" s="483"/>
    </row>
    <row r="44" spans="1:29" ht="15.5">
      <c r="A44" s="201"/>
      <c r="B44" s="216"/>
      <c r="C44" s="165"/>
      <c r="D44" s="148"/>
      <c r="E44" s="230"/>
      <c r="F44" s="219"/>
      <c r="G44" s="99"/>
      <c r="H44" s="1161">
        <v>10966431</v>
      </c>
      <c r="I44" s="1161"/>
      <c r="J44" s="472">
        <v>2</v>
      </c>
      <c r="K44" s="472" t="s">
        <v>1581</v>
      </c>
      <c r="L44" s="472"/>
      <c r="M44" s="472"/>
      <c r="N44" s="472"/>
      <c r="O44" s="472"/>
      <c r="P44" s="472"/>
      <c r="Q44" s="369"/>
      <c r="S44" s="483"/>
      <c r="T44" s="483"/>
      <c r="U44" s="483"/>
      <c r="V44" s="483"/>
      <c r="W44" s="483"/>
      <c r="X44" s="483"/>
      <c r="Y44" s="483"/>
      <c r="Z44" s="483"/>
      <c r="AA44" s="483"/>
      <c r="AB44" s="483"/>
      <c r="AC44" s="483"/>
    </row>
    <row r="45" spans="1:29" ht="15.5">
      <c r="A45" s="201"/>
      <c r="B45" s="216"/>
      <c r="C45" s="165"/>
      <c r="D45" s="148"/>
      <c r="E45" s="230"/>
      <c r="F45" s="219"/>
      <c r="G45" s="99"/>
      <c r="H45" s="1161">
        <v>43917</v>
      </c>
      <c r="I45" s="472"/>
      <c r="J45" s="472">
        <v>3</v>
      </c>
      <c r="K45" s="472" t="s">
        <v>1583</v>
      </c>
      <c r="L45" s="472"/>
      <c r="M45" s="472"/>
      <c r="N45" s="472"/>
      <c r="O45" s="472"/>
      <c r="P45" s="472"/>
      <c r="Q45" s="369"/>
      <c r="S45" s="483"/>
      <c r="T45" s="483"/>
      <c r="U45" s="483"/>
      <c r="V45" s="483"/>
      <c r="W45" s="483"/>
      <c r="X45" s="483"/>
      <c r="Y45" s="483"/>
      <c r="Z45" s="483"/>
      <c r="AA45" s="483"/>
      <c r="AB45" s="483"/>
      <c r="AC45" s="483"/>
    </row>
    <row r="46" spans="1:29" ht="15.5">
      <c r="A46" s="201"/>
      <c r="B46" s="216"/>
      <c r="C46" s="165"/>
      <c r="D46" s="148"/>
      <c r="E46" s="230"/>
      <c r="F46" s="219"/>
      <c r="G46" s="99"/>
      <c r="H46" s="538"/>
      <c r="I46" s="1161">
        <f>4850439+4371229+782739+487822+476682+453048+880612</f>
        <v>12302571</v>
      </c>
      <c r="J46" s="472">
        <v>4</v>
      </c>
      <c r="K46" s="472" t="s">
        <v>751</v>
      </c>
      <c r="L46" s="472"/>
      <c r="M46" s="472"/>
      <c r="N46" s="472"/>
      <c r="O46" s="472"/>
      <c r="P46" s="472"/>
      <c r="Q46" s="369"/>
      <c r="S46" s="483"/>
      <c r="T46" s="483"/>
      <c r="U46" s="483"/>
      <c r="V46" s="483"/>
      <c r="W46" s="483"/>
      <c r="X46" s="483"/>
      <c r="Y46" s="483"/>
      <c r="Z46" s="483"/>
      <c r="AA46" s="483"/>
      <c r="AB46" s="483"/>
      <c r="AC46" s="483"/>
    </row>
    <row r="47" spans="1:29" ht="15.5">
      <c r="A47" s="201"/>
      <c r="B47" s="216"/>
      <c r="C47" s="165"/>
      <c r="D47" s="148"/>
      <c r="E47" s="230"/>
      <c r="F47" s="219"/>
      <c r="G47" s="99"/>
      <c r="H47" s="538"/>
      <c r="J47" s="472">
        <v>5</v>
      </c>
      <c r="L47" s="472"/>
      <c r="M47" s="472"/>
      <c r="N47" s="472"/>
      <c r="O47" s="472"/>
      <c r="P47" s="472"/>
      <c r="Q47" s="369"/>
      <c r="S47" s="483"/>
      <c r="T47" s="483"/>
      <c r="U47" s="483"/>
      <c r="V47" s="483"/>
      <c r="W47" s="483"/>
      <c r="X47" s="483"/>
      <c r="Y47" s="483"/>
      <c r="Z47" s="483"/>
      <c r="AA47" s="483"/>
      <c r="AB47" s="483"/>
      <c r="AC47" s="483"/>
    </row>
    <row r="48" spans="1:29" ht="15.5">
      <c r="A48" s="201"/>
      <c r="B48" s="216"/>
      <c r="C48" s="165"/>
      <c r="D48" s="148"/>
      <c r="E48" s="230"/>
      <c r="F48" s="219"/>
      <c r="G48" s="99"/>
      <c r="H48" s="611"/>
      <c r="I48" s="611"/>
      <c r="J48" s="472">
        <v>6</v>
      </c>
      <c r="L48" s="472"/>
      <c r="M48" s="472"/>
      <c r="N48" s="472"/>
      <c r="O48" s="472"/>
      <c r="P48" s="472"/>
      <c r="Q48" s="369"/>
      <c r="S48" s="483"/>
      <c r="T48" s="483"/>
      <c r="U48" s="483"/>
      <c r="V48" s="483"/>
      <c r="W48" s="483"/>
      <c r="X48" s="483"/>
      <c r="Y48" s="483"/>
      <c r="Z48" s="483"/>
      <c r="AA48" s="483"/>
      <c r="AB48" s="483"/>
      <c r="AC48" s="483"/>
    </row>
    <row r="49" spans="1:29" ht="15.5">
      <c r="A49" s="201"/>
      <c r="B49" s="216"/>
      <c r="C49" s="165"/>
      <c r="D49" s="148"/>
      <c r="E49" s="230"/>
      <c r="F49" s="219"/>
      <c r="G49" s="99"/>
      <c r="H49" s="411">
        <f>SUM(H43:H48)</f>
        <v>12673635</v>
      </c>
      <c r="I49" s="411">
        <f>SUM(I44:I48)</f>
        <v>12302571</v>
      </c>
      <c r="J49" s="472"/>
      <c r="K49" s="483"/>
      <c r="L49" s="472"/>
      <c r="M49" s="472"/>
      <c r="N49" s="472"/>
      <c r="O49" s="472"/>
      <c r="P49" s="472"/>
      <c r="Q49" s="369"/>
      <c r="S49" s="483"/>
      <c r="T49" s="483"/>
      <c r="U49" s="483"/>
      <c r="V49" s="483"/>
      <c r="W49" s="483"/>
      <c r="X49" s="483"/>
      <c r="Y49" s="483"/>
      <c r="Z49" s="483"/>
      <c r="AA49" s="483"/>
      <c r="AB49" s="483"/>
      <c r="AC49" s="483"/>
    </row>
    <row r="50" spans="1:29" ht="13.5" thickBot="1">
      <c r="A50" s="565"/>
      <c r="B50" s="726"/>
      <c r="C50" s="726"/>
      <c r="D50" s="727"/>
      <c r="E50" s="726"/>
      <c r="F50" s="570"/>
      <c r="G50" s="283"/>
      <c r="H50" s="412"/>
      <c r="I50" s="283"/>
      <c r="J50" s="283"/>
      <c r="K50" s="283"/>
      <c r="L50" s="283"/>
      <c r="M50" s="283"/>
      <c r="N50" s="283"/>
      <c r="O50" s="283"/>
      <c r="P50" s="283"/>
      <c r="Q50" s="290"/>
      <c r="S50" s="483"/>
      <c r="T50" s="483"/>
      <c r="U50" s="483"/>
      <c r="V50" s="483"/>
      <c r="W50" s="483"/>
      <c r="X50" s="483"/>
      <c r="Y50" s="483"/>
      <c r="Z50" s="483"/>
      <c r="AA50" s="483"/>
      <c r="AB50" s="483"/>
      <c r="AC50" s="483"/>
    </row>
    <row r="51" spans="1:29" ht="20.5" thickBot="1">
      <c r="A51" s="414" t="s">
        <v>548</v>
      </c>
      <c r="G51" s="97"/>
      <c r="H51" s="97"/>
      <c r="I51" s="97"/>
      <c r="J51" s="97"/>
      <c r="K51" s="97"/>
      <c r="L51" s="97"/>
      <c r="M51" s="97"/>
      <c r="N51" s="97"/>
      <c r="O51" s="97"/>
      <c r="P51" s="97"/>
      <c r="Q51" s="413"/>
      <c r="S51" s="483"/>
      <c r="T51" s="483"/>
      <c r="U51" s="483"/>
      <c r="V51" s="483"/>
      <c r="W51" s="483"/>
      <c r="X51" s="483"/>
      <c r="Y51" s="483"/>
      <c r="Z51" s="483"/>
      <c r="AA51" s="483"/>
      <c r="AB51" s="483"/>
      <c r="AC51" s="483"/>
    </row>
    <row r="52" spans="1:29" ht="61.5" customHeight="1">
      <c r="A52" s="1569" t="s">
        <v>10</v>
      </c>
      <c r="B52" s="1570"/>
      <c r="C52" s="1570"/>
      <c r="D52" s="1570"/>
      <c r="E52" s="1570"/>
      <c r="F52" s="1571"/>
      <c r="G52" s="296" t="str">
        <f>+G39</f>
        <v>Form 1 Amount</v>
      </c>
      <c r="H52" s="619" t="s">
        <v>530</v>
      </c>
      <c r="I52" s="619" t="s">
        <v>462</v>
      </c>
      <c r="J52" s="1572" t="s">
        <v>389</v>
      </c>
      <c r="K52" s="1574"/>
      <c r="L52" s="1574"/>
      <c r="M52" s="1574"/>
      <c r="N52" s="1574"/>
      <c r="O52" s="1574"/>
      <c r="P52" s="1574"/>
      <c r="Q52" s="1606"/>
      <c r="S52" s="483"/>
      <c r="T52" s="483"/>
      <c r="U52" s="483"/>
      <c r="V52" s="483"/>
      <c r="W52" s="483"/>
      <c r="X52" s="483"/>
      <c r="Y52" s="483"/>
      <c r="Z52" s="483"/>
      <c r="AA52" s="483"/>
      <c r="AB52" s="483"/>
      <c r="AC52" s="483"/>
    </row>
    <row r="53" spans="1:29" ht="15.5">
      <c r="A53" s="194"/>
      <c r="B53" s="184" t="str">
        <f>+'Exh F - AA-BL Items'!B15</f>
        <v>Plant Allocation Factors</v>
      </c>
      <c r="C53" s="220"/>
      <c r="D53" s="174"/>
      <c r="E53" s="139"/>
      <c r="F53" s="195"/>
      <c r="G53" s="284"/>
      <c r="H53" s="99"/>
      <c r="I53" s="99"/>
      <c r="J53" s="1565"/>
      <c r="K53" s="1566"/>
      <c r="L53" s="1566"/>
      <c r="M53" s="1566"/>
      <c r="N53" s="1566"/>
      <c r="O53" s="1566"/>
      <c r="P53" s="1566"/>
      <c r="Q53" s="1603"/>
      <c r="S53" s="483"/>
      <c r="T53" s="483"/>
      <c r="U53" s="483"/>
      <c r="V53" s="483"/>
      <c r="W53" s="483"/>
      <c r="X53" s="483"/>
      <c r="Y53" s="483"/>
      <c r="Z53" s="483"/>
      <c r="AA53" s="483"/>
      <c r="AB53" s="483"/>
      <c r="AC53" s="483"/>
    </row>
    <row r="54" spans="1:29" ht="15.5">
      <c r="A54" s="201">
        <f>+'Exh F - AA-BL Items'!A16</f>
        <v>6</v>
      </c>
      <c r="B54" s="174"/>
      <c r="C54" s="165" t="str">
        <f>+'Exh F - AA-BL Items'!C16</f>
        <v>Electric Plant in Service</v>
      </c>
      <c r="D54" s="139"/>
      <c r="E54" s="230">
        <f>+'Exh F - AA-BL Items'!E16</f>
        <v>0</v>
      </c>
      <c r="F54" s="280" t="s">
        <v>721</v>
      </c>
      <c r="G54" s="409"/>
      <c r="H54" s="325">
        <v>0</v>
      </c>
      <c r="I54" s="398">
        <v>0</v>
      </c>
      <c r="J54" s="1566" t="s">
        <v>37</v>
      </c>
      <c r="K54" s="1566"/>
      <c r="L54" s="1566"/>
      <c r="M54" s="1566"/>
      <c r="N54" s="1566"/>
      <c r="O54" s="1566"/>
      <c r="P54" s="1566"/>
      <c r="Q54" s="1603"/>
      <c r="S54" s="483"/>
      <c r="T54" s="483"/>
      <c r="U54" s="483"/>
      <c r="V54" s="483"/>
      <c r="W54" s="483"/>
      <c r="X54" s="483"/>
      <c r="Y54" s="483"/>
      <c r="Z54" s="483"/>
      <c r="AA54" s="483"/>
      <c r="AB54" s="483"/>
      <c r="AC54" s="483"/>
    </row>
    <row r="55" spans="1:29" ht="15.75" hidden="1" customHeight="1">
      <c r="A55" s="201">
        <f>+'Exh F - AA-BL Items'!A17</f>
        <v>7</v>
      </c>
      <c r="B55" s="174"/>
      <c r="C55" s="165" t="str">
        <f>+'Exh F - AA-BL Items'!C17</f>
        <v>Common Plant In Service - Electric</v>
      </c>
      <c r="D55" s="84"/>
      <c r="E55" s="230" t="str">
        <f>+'Exh F - AA-BL Items'!E17</f>
        <v>(Note A)</v>
      </c>
      <c r="F55" s="280" t="s">
        <v>1493</v>
      </c>
      <c r="G55" s="406">
        <v>467649847</v>
      </c>
      <c r="H55" s="325">
        <v>0</v>
      </c>
      <c r="I55" s="325">
        <v>0</v>
      </c>
      <c r="J55" s="1566" t="s">
        <v>36</v>
      </c>
      <c r="K55" s="1566"/>
      <c r="L55" s="1566"/>
      <c r="M55" s="1566"/>
      <c r="N55" s="1566"/>
      <c r="O55" s="1566"/>
      <c r="P55" s="1566"/>
      <c r="Q55" s="1603"/>
      <c r="S55" s="483"/>
      <c r="T55" s="483"/>
      <c r="U55" s="483"/>
      <c r="V55" s="483"/>
      <c r="W55" s="483"/>
      <c r="X55" s="483"/>
      <c r="Y55" s="483"/>
      <c r="Z55" s="483"/>
      <c r="AA55" s="483"/>
      <c r="AB55" s="483"/>
      <c r="AC55" s="483"/>
    </row>
    <row r="56" spans="1:29" ht="15.5">
      <c r="A56" s="194"/>
      <c r="B56" s="184" t="str">
        <f>+'Exh F - AA-BL Items'!B36</f>
        <v>Plant In Service</v>
      </c>
      <c r="C56" s="220"/>
      <c r="D56" s="84"/>
      <c r="E56" s="161"/>
      <c r="F56" s="202"/>
      <c r="G56" s="410"/>
      <c r="H56" s="99"/>
      <c r="I56" s="99"/>
      <c r="J56" s="1566"/>
      <c r="K56" s="1566"/>
      <c r="L56" s="1566"/>
      <c r="M56" s="1566"/>
      <c r="N56" s="1566"/>
      <c r="O56" s="1566"/>
      <c r="P56" s="1566"/>
      <c r="Q56" s="1603"/>
      <c r="S56" s="483"/>
      <c r="T56" s="483"/>
      <c r="U56" s="483"/>
      <c r="V56" s="483"/>
      <c r="W56" s="483"/>
      <c r="X56" s="483"/>
      <c r="Y56" s="483"/>
      <c r="Z56" s="483"/>
      <c r="AA56" s="483"/>
      <c r="AB56" s="483"/>
      <c r="AC56" s="483"/>
    </row>
    <row r="57" spans="1:29" ht="15.5">
      <c r="A57" s="201">
        <f>+'Exh F - AA-BL Items'!A37</f>
        <v>19</v>
      </c>
      <c r="B57" s="163"/>
      <c r="C57" s="165" t="str">
        <f>+'Exh F - AA-BL Items'!C37</f>
        <v>Transmission Plant In Service</v>
      </c>
      <c r="D57" s="139"/>
      <c r="E57" s="230">
        <f>+'Exh F - AA-BL Items'!E37</f>
        <v>0</v>
      </c>
      <c r="F57" s="280" t="s">
        <v>173</v>
      </c>
      <c r="G57" s="409"/>
      <c r="H57" s="325">
        <v>0</v>
      </c>
      <c r="I57" s="325">
        <v>0</v>
      </c>
      <c r="J57" s="1566" t="s">
        <v>37</v>
      </c>
      <c r="K57" s="1566"/>
      <c r="L57" s="1566"/>
      <c r="M57" s="1566"/>
      <c r="N57" s="1566"/>
      <c r="O57" s="1566"/>
      <c r="P57" s="1566"/>
      <c r="Q57" s="1603"/>
      <c r="S57" s="483"/>
      <c r="T57" s="483"/>
      <c r="U57" s="483"/>
      <c r="V57" s="483"/>
      <c r="W57" s="483"/>
      <c r="X57" s="483"/>
      <c r="Y57" s="483"/>
      <c r="Z57" s="483"/>
      <c r="AA57" s="483"/>
      <c r="AB57" s="483"/>
      <c r="AC57" s="483"/>
    </row>
    <row r="58" spans="1:29" ht="15.75" hidden="1" customHeight="1">
      <c r="A58" s="201">
        <f>+'Exh F - AA-BL Items'!A38</f>
        <v>21</v>
      </c>
      <c r="B58" s="163"/>
      <c r="C58" s="165" t="str">
        <f>+'Exh F - AA-BL Items'!C38</f>
        <v>This Line Intentionally Left Blank</v>
      </c>
      <c r="D58" s="139"/>
      <c r="E58" s="230">
        <f>+'Exh F - AA-BL Items'!E38</f>
        <v>0</v>
      </c>
      <c r="F58" s="280" t="s">
        <v>55</v>
      </c>
      <c r="G58" s="326" t="s">
        <v>460</v>
      </c>
      <c r="H58" s="325" t="s">
        <v>460</v>
      </c>
      <c r="I58" s="325" t="s">
        <v>460</v>
      </c>
      <c r="J58" s="1566" t="s">
        <v>459</v>
      </c>
      <c r="K58" s="1566"/>
      <c r="L58" s="1566"/>
      <c r="M58" s="1566"/>
      <c r="N58" s="1566"/>
      <c r="O58" s="1566"/>
      <c r="P58" s="1566"/>
      <c r="Q58" s="1603"/>
      <c r="S58" s="483"/>
      <c r="T58" s="483"/>
      <c r="U58" s="483"/>
      <c r="V58" s="483"/>
      <c r="W58" s="483"/>
      <c r="X58" s="483"/>
      <c r="Y58" s="483"/>
      <c r="Z58" s="483"/>
      <c r="AA58" s="483"/>
      <c r="AB58" s="483"/>
      <c r="AC58" s="483"/>
    </row>
    <row r="59" spans="1:29" ht="15.75" customHeight="1">
      <c r="A59" s="194">
        <f>+'Exh F - AA-BL Items'!A40</f>
        <v>24</v>
      </c>
      <c r="B59" s="174"/>
      <c r="C59" s="220" t="str">
        <f>+'Exh F - AA-BL Items'!C40</f>
        <v>Common Plant (Electric Only)</v>
      </c>
      <c r="D59" s="139"/>
      <c r="E59" s="187" t="str">
        <f>+'Exh F - AA-BL Items'!E40</f>
        <v>(Notes A)</v>
      </c>
      <c r="F59" s="280" t="s">
        <v>153</v>
      </c>
      <c r="G59" s="409"/>
      <c r="H59" s="325">
        <v>0</v>
      </c>
      <c r="I59" s="325">
        <v>0</v>
      </c>
      <c r="J59" s="1566" t="s">
        <v>76</v>
      </c>
      <c r="K59" s="1566"/>
      <c r="L59" s="1566"/>
      <c r="M59" s="1566"/>
      <c r="N59" s="1566"/>
      <c r="O59" s="1566"/>
      <c r="P59" s="1566"/>
      <c r="Q59" s="1603"/>
      <c r="S59" s="483"/>
      <c r="T59" s="483"/>
      <c r="U59" s="483"/>
      <c r="V59" s="483"/>
      <c r="W59" s="483"/>
      <c r="X59" s="483"/>
      <c r="Y59" s="483"/>
      <c r="Z59" s="483"/>
      <c r="AA59" s="483"/>
      <c r="AB59" s="483"/>
      <c r="AC59" s="483"/>
    </row>
    <row r="60" spans="1:29" ht="15.75" customHeight="1">
      <c r="A60" s="201"/>
      <c r="B60" s="184" t="s">
        <v>195</v>
      </c>
      <c r="C60" s="157"/>
      <c r="D60" s="158"/>
      <c r="E60" s="224"/>
      <c r="F60" s="191"/>
      <c r="G60" s="284"/>
      <c r="H60" s="99"/>
      <c r="I60" s="99"/>
      <c r="J60" s="99"/>
      <c r="K60" s="99"/>
      <c r="L60" s="99"/>
      <c r="M60" s="99"/>
      <c r="N60" s="99"/>
      <c r="O60" s="99"/>
      <c r="P60" s="99"/>
      <c r="Q60" s="282"/>
      <c r="S60" s="483"/>
      <c r="T60" s="483"/>
      <c r="U60" s="483"/>
      <c r="V60" s="483"/>
      <c r="W60" s="483"/>
      <c r="X60" s="483"/>
      <c r="Y60" s="483"/>
      <c r="Z60" s="483"/>
      <c r="AA60" s="483"/>
      <c r="AB60" s="483"/>
      <c r="AC60" s="483"/>
    </row>
    <row r="61" spans="1:29" ht="16.5" customHeight="1" thickBot="1">
      <c r="A61" s="254">
        <f>+'Exh F - AA-BL Items'!A52</f>
        <v>30</v>
      </c>
      <c r="B61" s="255"/>
      <c r="C61" s="266" t="str">
        <f>+'Exh F - AA-BL Items'!C52</f>
        <v>Transmission Accumulated Depreciation</v>
      </c>
      <c r="D61" s="471"/>
      <c r="E61" s="267">
        <f>+'Exh F - AA-BL Items'!E52</f>
        <v>0</v>
      </c>
      <c r="F61" s="281" t="s">
        <v>726</v>
      </c>
      <c r="G61" s="408"/>
      <c r="H61" s="332">
        <v>0</v>
      </c>
      <c r="I61" s="332">
        <v>0</v>
      </c>
      <c r="J61" s="1568" t="s">
        <v>37</v>
      </c>
      <c r="K61" s="1568"/>
      <c r="L61" s="1568"/>
      <c r="M61" s="1568"/>
      <c r="N61" s="1568"/>
      <c r="O61" s="1568"/>
      <c r="P61" s="1568"/>
      <c r="Q61" s="1607"/>
      <c r="S61" s="483"/>
      <c r="T61" s="483"/>
      <c r="U61" s="483"/>
      <c r="V61" s="483"/>
      <c r="W61" s="483"/>
      <c r="X61" s="483"/>
      <c r="Y61" s="483"/>
      <c r="Z61" s="483"/>
      <c r="AA61" s="483"/>
      <c r="AB61" s="483"/>
      <c r="AC61" s="483"/>
    </row>
    <row r="62" spans="1:29" ht="12.75" customHeight="1">
      <c r="G62" s="97"/>
      <c r="H62" s="97"/>
      <c r="I62" s="97"/>
      <c r="J62" s="97"/>
      <c r="K62" s="97"/>
      <c r="L62" s="97"/>
      <c r="M62" s="97"/>
      <c r="N62" s="97"/>
      <c r="O62" s="97"/>
      <c r="P62" s="97"/>
      <c r="Q62" s="97"/>
      <c r="S62" s="483"/>
      <c r="T62" s="483"/>
      <c r="U62" s="483"/>
      <c r="V62" s="483"/>
      <c r="W62" s="483"/>
      <c r="X62" s="483"/>
      <c r="Y62" s="483"/>
      <c r="Z62" s="483"/>
      <c r="AA62" s="483"/>
      <c r="AB62" s="483"/>
      <c r="AC62" s="483"/>
    </row>
    <row r="63" spans="1:29" ht="22.5" customHeight="1" thickBot="1">
      <c r="A63" s="264" t="s">
        <v>264</v>
      </c>
      <c r="G63" s="97"/>
      <c r="H63" s="97"/>
      <c r="I63" s="97"/>
      <c r="J63" s="97"/>
      <c r="K63" s="97"/>
      <c r="L63" s="97"/>
      <c r="M63" s="97"/>
      <c r="N63" s="97"/>
      <c r="O63" s="97"/>
      <c r="P63" s="97"/>
      <c r="Q63" s="97"/>
      <c r="S63" s="483"/>
      <c r="T63" s="483"/>
      <c r="U63" s="483"/>
      <c r="V63" s="483"/>
      <c r="W63" s="483"/>
      <c r="X63" s="483"/>
      <c r="Y63" s="483"/>
      <c r="Z63" s="483"/>
      <c r="AA63" s="483"/>
      <c r="AB63" s="483"/>
      <c r="AC63" s="483"/>
    </row>
    <row r="64" spans="1:29" ht="27">
      <c r="A64" s="1569" t="s">
        <v>10</v>
      </c>
      <c r="B64" s="1570"/>
      <c r="C64" s="1570"/>
      <c r="D64" s="1570"/>
      <c r="E64" s="1570"/>
      <c r="F64" s="1571"/>
      <c r="G64" s="773" t="s">
        <v>457</v>
      </c>
      <c r="H64" s="773" t="s">
        <v>461</v>
      </c>
      <c r="I64" s="773" t="s">
        <v>529</v>
      </c>
      <c r="J64" s="1572" t="s">
        <v>389</v>
      </c>
      <c r="K64" s="1574"/>
      <c r="L64" s="1574"/>
      <c r="M64" s="1574"/>
      <c r="N64" s="1574"/>
      <c r="O64" s="1574"/>
      <c r="P64" s="1574"/>
      <c r="Q64" s="1606"/>
      <c r="S64" s="483"/>
      <c r="T64" s="483"/>
      <c r="U64" s="483"/>
      <c r="V64" s="483"/>
      <c r="W64" s="483"/>
      <c r="X64" s="483"/>
      <c r="Y64" s="483"/>
      <c r="Z64" s="483"/>
      <c r="AA64" s="483"/>
      <c r="AB64" s="483"/>
      <c r="AC64" s="483"/>
    </row>
    <row r="65" spans="1:29" ht="15.5">
      <c r="A65" s="201"/>
      <c r="B65" s="184"/>
      <c r="C65" s="148"/>
      <c r="D65" s="148"/>
      <c r="E65" s="200"/>
      <c r="F65" s="226"/>
      <c r="G65" s="99"/>
      <c r="H65" s="99"/>
      <c r="I65" s="99"/>
      <c r="J65" s="99"/>
      <c r="K65" s="99"/>
      <c r="L65" s="99"/>
      <c r="M65" s="99"/>
      <c r="N65" s="99"/>
      <c r="O65" s="99"/>
      <c r="P65" s="99"/>
      <c r="Q65" s="282"/>
      <c r="S65" s="483"/>
      <c r="T65" s="483"/>
      <c r="U65" s="483"/>
      <c r="V65" s="483"/>
      <c r="W65" s="483"/>
      <c r="X65" s="483"/>
      <c r="Y65" s="483"/>
      <c r="Z65" s="483"/>
      <c r="AA65" s="483"/>
      <c r="AB65" s="483"/>
      <c r="AC65" s="483"/>
    </row>
    <row r="66" spans="1:29" ht="12.75" customHeight="1">
      <c r="A66" s="201">
        <v>65</v>
      </c>
      <c r="B66" s="182"/>
      <c r="C66" s="159" t="s">
        <v>773</v>
      </c>
      <c r="D66" s="200"/>
      <c r="E66" s="230" t="s">
        <v>296</v>
      </c>
      <c r="F66" s="227" t="s">
        <v>774</v>
      </c>
      <c r="G66" s="910">
        <v>15181104</v>
      </c>
      <c r="H66" s="353">
        <v>0</v>
      </c>
      <c r="I66" s="910">
        <f>+G66-H66</f>
        <v>15181104</v>
      </c>
      <c r="J66" s="1615" t="s">
        <v>775</v>
      </c>
      <c r="K66" s="1615"/>
      <c r="L66" s="1615"/>
      <c r="M66" s="1615"/>
      <c r="N66" s="1615"/>
      <c r="O66" s="1615"/>
      <c r="P66" s="1615"/>
      <c r="Q66" s="1616"/>
      <c r="S66" s="483"/>
      <c r="T66" s="483"/>
      <c r="U66" s="483"/>
      <c r="V66" s="483"/>
      <c r="W66" s="483"/>
      <c r="X66" s="483"/>
      <c r="Y66" s="483"/>
      <c r="Z66" s="483"/>
      <c r="AA66" s="483"/>
      <c r="AB66" s="483"/>
      <c r="AC66" s="483"/>
    </row>
    <row r="67" spans="1:29" ht="12.75" customHeight="1">
      <c r="A67" s="201"/>
      <c r="B67" s="182"/>
      <c r="C67" s="159"/>
      <c r="D67" s="200"/>
      <c r="E67" s="230"/>
      <c r="F67" s="227"/>
      <c r="G67" s="910"/>
      <c r="H67" s="353"/>
      <c r="I67" s="910"/>
      <c r="J67" s="800"/>
      <c r="K67" s="800"/>
      <c r="L67" s="800"/>
      <c r="M67" s="800"/>
      <c r="N67" s="800"/>
      <c r="O67" s="800"/>
      <c r="P67" s="800"/>
      <c r="Q67" s="801"/>
      <c r="S67" s="483"/>
      <c r="T67" s="483"/>
      <c r="U67" s="483"/>
      <c r="V67" s="483"/>
      <c r="W67" s="483"/>
      <c r="X67" s="483"/>
      <c r="Y67" s="483"/>
      <c r="Z67" s="483"/>
      <c r="AA67" s="483"/>
      <c r="AB67" s="483"/>
      <c r="AC67" s="483"/>
    </row>
    <row r="68" spans="1:29" ht="15.5">
      <c r="A68" s="1475">
        <v>60</v>
      </c>
      <c r="B68" s="4"/>
      <c r="C68" s="159" t="s">
        <v>264</v>
      </c>
      <c r="D68" s="148"/>
      <c r="E68" s="156"/>
      <c r="F68" s="198" t="s">
        <v>164</v>
      </c>
      <c r="G68" s="910">
        <v>39450076</v>
      </c>
      <c r="H68" s="910">
        <f>+G68-I68</f>
        <v>39082181</v>
      </c>
      <c r="I68" s="1430">
        <v>367895</v>
      </c>
      <c r="J68" s="1566" t="s">
        <v>1576</v>
      </c>
      <c r="K68" s="1566"/>
      <c r="L68" s="1566"/>
      <c r="M68" s="1566"/>
      <c r="N68" s="1566"/>
      <c r="O68" s="1566"/>
      <c r="P68" s="1566"/>
      <c r="Q68" s="1603"/>
      <c r="S68" s="483"/>
      <c r="T68" s="483"/>
      <c r="U68" s="483"/>
      <c r="V68" s="483"/>
      <c r="W68" s="483"/>
      <c r="X68" s="483"/>
      <c r="Y68" s="483"/>
      <c r="Z68" s="483"/>
      <c r="AA68" s="483"/>
      <c r="AB68" s="483"/>
      <c r="AC68" s="483"/>
    </row>
    <row r="69" spans="1:29" ht="12.75" customHeight="1" thickBot="1">
      <c r="A69" s="254"/>
      <c r="B69" s="265"/>
      <c r="C69" s="266"/>
      <c r="D69" s="270"/>
      <c r="E69" s="262"/>
      <c r="F69" s="268"/>
      <c r="G69" s="415"/>
      <c r="H69" s="401"/>
      <c r="I69" s="399"/>
      <c r="J69" s="1568"/>
      <c r="K69" s="1568"/>
      <c r="L69" s="1568"/>
      <c r="M69" s="1568"/>
      <c r="N69" s="1568"/>
      <c r="O69" s="1568"/>
      <c r="P69" s="1568"/>
      <c r="Q69" s="1607"/>
      <c r="S69" s="483"/>
      <c r="T69" s="483"/>
      <c r="U69" s="483"/>
      <c r="V69" s="483"/>
      <c r="W69" s="483"/>
      <c r="X69" s="483"/>
      <c r="Y69" s="483"/>
      <c r="Z69" s="483"/>
      <c r="AA69" s="483"/>
      <c r="AB69" s="483"/>
      <c r="AC69" s="483"/>
    </row>
    <row r="70" spans="1:29" ht="12.75" customHeight="1">
      <c r="G70" s="97"/>
      <c r="H70" s="97"/>
      <c r="I70" s="97"/>
      <c r="J70" s="97"/>
      <c r="K70" s="97"/>
      <c r="L70" s="97"/>
      <c r="M70" s="97"/>
      <c r="N70" s="97"/>
      <c r="O70" s="97"/>
      <c r="P70" s="97"/>
      <c r="Q70" s="97"/>
      <c r="S70" s="483"/>
      <c r="T70" s="483"/>
      <c r="U70" s="483"/>
      <c r="V70" s="483"/>
      <c r="W70" s="483"/>
      <c r="X70" s="483"/>
      <c r="Y70" s="483"/>
      <c r="Z70" s="483"/>
      <c r="AA70" s="483"/>
      <c r="AB70" s="483"/>
      <c r="AC70" s="483"/>
    </row>
    <row r="71" spans="1:29" ht="12.75" customHeight="1">
      <c r="G71" s="97"/>
      <c r="H71" s="97"/>
      <c r="I71" s="97"/>
      <c r="J71" s="97"/>
      <c r="K71" s="97"/>
      <c r="L71" s="97"/>
      <c r="M71" s="97"/>
      <c r="N71" s="97"/>
      <c r="O71" s="97"/>
      <c r="P71" s="97"/>
      <c r="Q71" s="97"/>
      <c r="S71" s="483"/>
      <c r="T71" s="483"/>
      <c r="U71" s="483"/>
      <c r="V71" s="483"/>
      <c r="W71" s="483"/>
      <c r="X71" s="483"/>
      <c r="Y71" s="483"/>
      <c r="Z71" s="483"/>
      <c r="AA71" s="483"/>
      <c r="AB71" s="483"/>
      <c r="AC71" s="483"/>
    </row>
    <row r="72" spans="1:29" ht="12.75" customHeight="1">
      <c r="G72" s="97"/>
      <c r="H72" s="97"/>
      <c r="I72" s="97"/>
      <c r="J72" s="97"/>
      <c r="K72" s="97"/>
      <c r="L72" s="97"/>
      <c r="M72" s="97"/>
      <c r="N72" s="97"/>
      <c r="O72" s="97"/>
      <c r="P72" s="97"/>
      <c r="Q72" s="97"/>
      <c r="S72" s="483"/>
      <c r="T72" s="483"/>
      <c r="U72" s="483"/>
      <c r="V72" s="483"/>
      <c r="W72" s="483"/>
      <c r="X72" s="483"/>
      <c r="Y72" s="483"/>
      <c r="Z72" s="483"/>
      <c r="AA72" s="483"/>
      <c r="AB72" s="483"/>
      <c r="AC72" s="483"/>
    </row>
    <row r="73" spans="1:29" ht="12.75" customHeight="1">
      <c r="G73" s="97"/>
      <c r="H73" s="97"/>
      <c r="I73" s="97"/>
      <c r="J73" s="97"/>
      <c r="K73" s="97"/>
      <c r="L73" s="97"/>
      <c r="M73" s="97"/>
      <c r="N73" s="97"/>
      <c r="O73" s="97"/>
      <c r="P73" s="97"/>
      <c r="Q73" s="97"/>
      <c r="S73" s="483"/>
      <c r="T73" s="483"/>
      <c r="U73" s="483"/>
      <c r="V73" s="483"/>
      <c r="W73" s="483"/>
      <c r="X73" s="483"/>
      <c r="Y73" s="483"/>
      <c r="Z73" s="483"/>
      <c r="AA73" s="483"/>
      <c r="AB73" s="483"/>
      <c r="AC73" s="483"/>
    </row>
    <row r="74" spans="1:29" ht="21.25" customHeight="1" thickBot="1">
      <c r="A74" s="264" t="s">
        <v>538</v>
      </c>
      <c r="G74" s="97"/>
      <c r="H74" s="97"/>
      <c r="I74" s="97"/>
      <c r="J74" s="97"/>
      <c r="K74" s="97"/>
      <c r="L74" s="97"/>
      <c r="M74" s="97"/>
      <c r="N74" s="97"/>
      <c r="O74" s="97"/>
      <c r="P74" s="97"/>
      <c r="Q74" s="97"/>
      <c r="S74" s="483"/>
      <c r="T74" s="483"/>
      <c r="U74" s="483"/>
      <c r="V74" s="483"/>
      <c r="W74" s="483"/>
      <c r="X74" s="483"/>
      <c r="Y74" s="483"/>
      <c r="Z74" s="483"/>
      <c r="AA74" s="483"/>
      <c r="AB74" s="483"/>
      <c r="AC74" s="483"/>
    </row>
    <row r="75" spans="1:29" ht="18" customHeight="1">
      <c r="A75" s="1569" t="s">
        <v>10</v>
      </c>
      <c r="B75" s="1570"/>
      <c r="C75" s="1570"/>
      <c r="D75" s="1570"/>
      <c r="E75" s="1570"/>
      <c r="F75" s="1571"/>
      <c r="G75" s="619" t="str">
        <f>+G52</f>
        <v>Form 1 Amount</v>
      </c>
      <c r="H75" s="619" t="s">
        <v>443</v>
      </c>
      <c r="I75" s="619"/>
      <c r="J75" s="1572" t="s">
        <v>389</v>
      </c>
      <c r="K75" s="1574"/>
      <c r="L75" s="1574"/>
      <c r="M75" s="1574"/>
      <c r="N75" s="1574"/>
      <c r="O75" s="1574"/>
      <c r="P75" s="1574"/>
      <c r="Q75" s="1606"/>
      <c r="S75" s="483"/>
      <c r="T75" s="483"/>
      <c r="U75" s="483"/>
      <c r="V75" s="483"/>
      <c r="W75" s="483"/>
      <c r="X75" s="483"/>
      <c r="Y75" s="483"/>
      <c r="Z75" s="483"/>
      <c r="AA75" s="483"/>
      <c r="AB75" s="483"/>
      <c r="AC75" s="483"/>
    </row>
    <row r="76" spans="1:29" ht="15.75" customHeight="1">
      <c r="A76" s="201"/>
      <c r="B76" s="184" t="s">
        <v>181</v>
      </c>
      <c r="C76" s="148"/>
      <c r="D76" s="148"/>
      <c r="E76" s="200"/>
      <c r="F76" s="226"/>
      <c r="G76" s="99"/>
      <c r="H76" s="99"/>
      <c r="I76" s="99"/>
      <c r="J76" s="1565"/>
      <c r="K76" s="1566"/>
      <c r="L76" s="1566"/>
      <c r="M76" s="1566"/>
      <c r="N76" s="1566"/>
      <c r="O76" s="1566"/>
      <c r="P76" s="1566"/>
      <c r="Q76" s="1603"/>
      <c r="S76" s="483"/>
      <c r="T76" s="483"/>
      <c r="U76" s="483"/>
      <c r="V76" s="483"/>
      <c r="W76" s="483"/>
      <c r="X76" s="483"/>
      <c r="Y76" s="483"/>
      <c r="Z76" s="483"/>
      <c r="AA76" s="483"/>
      <c r="AB76" s="483"/>
      <c r="AC76" s="483"/>
    </row>
    <row r="77" spans="1:29" ht="16.5" customHeight="1" thickBot="1">
      <c r="A77" s="254">
        <v>72</v>
      </c>
      <c r="B77" s="259"/>
      <c r="C77" s="260" t="str">
        <f>'Exh F - AA-BL Items'!C116</f>
        <v xml:space="preserve">    Less EPRI Dues</v>
      </c>
      <c r="D77" s="471"/>
      <c r="E77" s="273" t="str">
        <f>'Exh F - AA-BL Items'!E116</f>
        <v>(Note D)</v>
      </c>
      <c r="F77" s="271" t="str">
        <f>'Exh F - AA-BL Items'!F116</f>
        <v>p352-353</v>
      </c>
      <c r="G77" s="408">
        <v>0</v>
      </c>
      <c r="H77" s="401">
        <f>+G77</f>
        <v>0</v>
      </c>
      <c r="I77" s="332"/>
      <c r="J77" s="1568" t="s">
        <v>38</v>
      </c>
      <c r="K77" s="1568"/>
      <c r="L77" s="1568"/>
      <c r="M77" s="1568"/>
      <c r="N77" s="1568"/>
      <c r="O77" s="1568"/>
      <c r="P77" s="1568"/>
      <c r="Q77" s="1607"/>
      <c r="S77" s="483"/>
      <c r="T77" s="483"/>
      <c r="U77" s="483"/>
      <c r="V77" s="483"/>
      <c r="W77" s="483"/>
      <c r="X77" s="483"/>
      <c r="Y77" s="483"/>
      <c r="Z77" s="483"/>
      <c r="AA77" s="483"/>
      <c r="AB77" s="483"/>
      <c r="AC77" s="483"/>
    </row>
    <row r="78" spans="1:29" ht="20.149999999999999" customHeight="1">
      <c r="A78" s="318"/>
      <c r="B78" s="163"/>
      <c r="D78" s="84"/>
      <c r="E78" s="85"/>
      <c r="F78" s="86"/>
      <c r="H78" s="97"/>
      <c r="I78" s="97"/>
      <c r="J78" s="97"/>
      <c r="K78" s="97"/>
      <c r="L78" s="97"/>
      <c r="M78" s="97"/>
      <c r="N78" s="97"/>
      <c r="O78" s="97"/>
      <c r="P78" s="97"/>
      <c r="Q78" s="389"/>
      <c r="S78" s="483"/>
      <c r="T78" s="483"/>
      <c r="U78" s="483"/>
      <c r="V78" s="483"/>
      <c r="W78" s="483"/>
      <c r="X78" s="483"/>
      <c r="Y78" s="483"/>
      <c r="Z78" s="483"/>
      <c r="AA78" s="483"/>
      <c r="AB78" s="483"/>
      <c r="AC78" s="483"/>
    </row>
    <row r="79" spans="1:29" ht="21.25" customHeight="1" thickBot="1">
      <c r="A79" s="264" t="s">
        <v>229</v>
      </c>
      <c r="G79" s="97"/>
      <c r="H79" s="97"/>
      <c r="I79" s="97"/>
      <c r="J79" s="97"/>
      <c r="K79" s="97"/>
      <c r="L79" s="97"/>
      <c r="M79" s="97"/>
      <c r="N79" s="97"/>
      <c r="O79" s="97"/>
      <c r="P79" s="97"/>
      <c r="Q79" s="97"/>
      <c r="S79" s="483"/>
      <c r="T79" s="483"/>
      <c r="U79" s="483"/>
      <c r="V79" s="483"/>
      <c r="W79" s="483"/>
      <c r="X79" s="483"/>
      <c r="Y79" s="483"/>
      <c r="Z79" s="483"/>
      <c r="AA79" s="483"/>
      <c r="AB79" s="483"/>
      <c r="AC79" s="483"/>
    </row>
    <row r="80" spans="1:29" ht="30.25" customHeight="1">
      <c r="A80" s="1569" t="s">
        <v>10</v>
      </c>
      <c r="B80" s="1570"/>
      <c r="C80" s="1570"/>
      <c r="D80" s="1570"/>
      <c r="E80" s="1570"/>
      <c r="F80" s="1571"/>
      <c r="G80" s="619" t="str">
        <f>+G75</f>
        <v>Form 1 Amount</v>
      </c>
      <c r="H80" s="619" t="s">
        <v>230</v>
      </c>
      <c r="I80" s="619" t="s">
        <v>231</v>
      </c>
      <c r="J80" s="1572" t="s">
        <v>389</v>
      </c>
      <c r="K80" s="1574"/>
      <c r="L80" s="1574"/>
      <c r="M80" s="1574"/>
      <c r="N80" s="1574"/>
      <c r="O80" s="1574"/>
      <c r="P80" s="1574"/>
      <c r="Q80" s="1606"/>
      <c r="S80" s="483"/>
      <c r="T80" s="483"/>
      <c r="U80" s="483"/>
      <c r="V80" s="483"/>
      <c r="W80" s="483"/>
      <c r="X80" s="483"/>
      <c r="Y80" s="483"/>
      <c r="Z80" s="483"/>
      <c r="AA80" s="483"/>
      <c r="AB80" s="483"/>
      <c r="AC80" s="483"/>
    </row>
    <row r="81" spans="1:29" ht="15.75" customHeight="1">
      <c r="A81" s="201"/>
      <c r="B81" s="184" t="s">
        <v>181</v>
      </c>
      <c r="C81" s="148"/>
      <c r="D81" s="148"/>
      <c r="E81" s="200"/>
      <c r="F81" s="226"/>
      <c r="G81" s="99"/>
      <c r="H81" s="99"/>
      <c r="I81" s="99"/>
      <c r="J81" s="1565"/>
      <c r="K81" s="1566"/>
      <c r="L81" s="1566"/>
      <c r="M81" s="1566"/>
      <c r="N81" s="1566"/>
      <c r="O81" s="1566"/>
      <c r="P81" s="1566"/>
      <c r="Q81" s="1603"/>
      <c r="S81" s="483"/>
      <c r="T81" s="483"/>
      <c r="U81" s="1608"/>
      <c r="V81" s="483"/>
      <c r="W81" s="483"/>
      <c r="X81" s="483"/>
      <c r="Y81" s="483"/>
      <c r="Z81" s="483"/>
      <c r="AA81" s="483"/>
      <c r="AB81" s="483"/>
      <c r="AC81" s="483"/>
    </row>
    <row r="82" spans="1:29" ht="31.75" customHeight="1" thickBot="1">
      <c r="A82" s="254">
        <v>68</v>
      </c>
      <c r="B82" s="259"/>
      <c r="C82" s="260" t="str">
        <f>+'ATT H-2A'!C136</f>
        <v>Total A&amp;G</v>
      </c>
      <c r="D82" s="471"/>
      <c r="E82" s="273">
        <f>+'ATT H-2A'!E136</f>
        <v>0</v>
      </c>
      <c r="F82" s="271" t="s">
        <v>728</v>
      </c>
      <c r="G82" s="540">
        <v>191181895</v>
      </c>
      <c r="H82" s="1434">
        <f>589804+494180.26</f>
        <v>1083984.26</v>
      </c>
      <c r="I82" s="541">
        <f>+G82-H82</f>
        <v>190097910.74000001</v>
      </c>
      <c r="J82" s="1610" t="s">
        <v>1626</v>
      </c>
      <c r="K82" s="1610"/>
      <c r="L82" s="1610"/>
      <c r="M82" s="1610"/>
      <c r="N82" s="1610"/>
      <c r="O82" s="1610"/>
      <c r="P82" s="1610"/>
      <c r="Q82" s="1611"/>
      <c r="S82" s="609"/>
      <c r="T82" s="609"/>
      <c r="U82" s="1609"/>
      <c r="V82" s="483"/>
      <c r="W82" s="483"/>
      <c r="X82" s="483"/>
      <c r="Y82" s="483"/>
      <c r="Z82" s="483"/>
      <c r="AA82" s="483"/>
      <c r="AB82" s="483"/>
      <c r="AC82" s="483"/>
    </row>
    <row r="83" spans="1:29" ht="13">
      <c r="G83" s="97"/>
      <c r="H83" s="97"/>
      <c r="I83" s="97"/>
      <c r="J83" s="97"/>
      <c r="K83" s="97"/>
      <c r="L83" s="97"/>
      <c r="M83" s="97"/>
      <c r="N83" s="97"/>
      <c r="O83" s="97"/>
      <c r="P83" s="97"/>
      <c r="Q83" s="97"/>
      <c r="S83" s="483"/>
      <c r="T83" s="483"/>
      <c r="U83" s="1609"/>
      <c r="V83" s="483"/>
      <c r="W83" s="483"/>
      <c r="X83" s="483"/>
      <c r="Y83" s="483"/>
      <c r="Z83" s="483"/>
      <c r="AA83" s="483"/>
      <c r="AB83" s="483"/>
      <c r="AC83" s="483"/>
    </row>
    <row r="84" spans="1:29" ht="20.5" thickBot="1">
      <c r="A84" s="264" t="s">
        <v>539</v>
      </c>
      <c r="G84" s="97"/>
      <c r="H84" s="97"/>
      <c r="I84" s="97"/>
      <c r="J84" s="97"/>
      <c r="K84" s="97"/>
      <c r="L84" s="97"/>
      <c r="M84" s="97"/>
      <c r="N84" s="97"/>
      <c r="O84" s="97"/>
      <c r="P84" s="97"/>
      <c r="Q84" s="97"/>
      <c r="S84" s="483"/>
      <c r="T84" s="483"/>
      <c r="U84" s="1609"/>
      <c r="V84" s="483"/>
      <c r="W84" s="483"/>
      <c r="X84" s="483"/>
      <c r="Y84" s="483"/>
      <c r="Z84" s="483"/>
      <c r="AA84" s="483"/>
      <c r="AB84" s="483"/>
      <c r="AC84" s="483"/>
    </row>
    <row r="85" spans="1:29" ht="27">
      <c r="A85" s="1569" t="s">
        <v>10</v>
      </c>
      <c r="B85" s="1570"/>
      <c r="C85" s="1570"/>
      <c r="D85" s="1570"/>
      <c r="E85" s="1570"/>
      <c r="F85" s="1571"/>
      <c r="G85" s="619" t="s">
        <v>457</v>
      </c>
      <c r="H85" s="619" t="s">
        <v>461</v>
      </c>
      <c r="I85" s="619" t="s">
        <v>529</v>
      </c>
      <c r="J85" s="1572" t="s">
        <v>389</v>
      </c>
      <c r="K85" s="1574"/>
      <c r="L85" s="1574"/>
      <c r="M85" s="1574"/>
      <c r="N85" s="1574"/>
      <c r="O85" s="1574"/>
      <c r="P85" s="1574"/>
      <c r="Q85" s="1606"/>
      <c r="S85" s="483"/>
      <c r="T85" s="483"/>
      <c r="U85" s="1609"/>
      <c r="V85" s="483"/>
      <c r="W85" s="483"/>
      <c r="X85" s="483"/>
      <c r="Y85" s="483"/>
      <c r="Z85" s="483"/>
      <c r="AA85" s="483"/>
      <c r="AB85" s="483"/>
      <c r="AC85" s="483"/>
    </row>
    <row r="86" spans="1:29" ht="15.5">
      <c r="A86" s="201"/>
      <c r="B86" s="184" t="str">
        <f>'Exh F - AA-BL Items'!B110</f>
        <v>Allocated General &amp; Common Expenses</v>
      </c>
      <c r="C86" s="148"/>
      <c r="D86" s="148"/>
      <c r="E86" s="200"/>
      <c r="F86" s="226"/>
      <c r="G86" s="99"/>
      <c r="H86" s="99"/>
      <c r="I86" s="99"/>
      <c r="J86" s="99"/>
      <c r="K86" s="99"/>
      <c r="L86" s="99"/>
      <c r="M86" s="99"/>
      <c r="N86" s="99"/>
      <c r="O86" s="99"/>
      <c r="P86" s="99"/>
      <c r="Q86" s="282"/>
      <c r="S86" s="483"/>
      <c r="T86" s="483"/>
      <c r="U86" s="1609"/>
      <c r="V86" s="483"/>
      <c r="W86" s="483"/>
      <c r="X86" s="483"/>
      <c r="Y86" s="483"/>
      <c r="Z86" s="483"/>
      <c r="AA86" s="483"/>
      <c r="AB86" s="483"/>
      <c r="AC86" s="483"/>
    </row>
    <row r="87" spans="1:29" ht="15.5">
      <c r="A87" s="201">
        <v>70</v>
      </c>
      <c r="B87" s="182"/>
      <c r="C87" s="159" t="str">
        <f>'Exh F - AA-BL Items'!C114</f>
        <v xml:space="preserve">    Less Regulatory Commission Exp Account 928</v>
      </c>
      <c r="D87" s="200"/>
      <c r="E87" s="230" t="str">
        <f>'Exh F - AA-BL Items'!E114</f>
        <v>(Note E)</v>
      </c>
      <c r="F87" s="227" t="str">
        <f>'Exh F - AA-BL Items'!F114</f>
        <v>p323.189.b</v>
      </c>
      <c r="G87" s="910">
        <v>166114</v>
      </c>
      <c r="H87" s="315"/>
      <c r="I87" s="315"/>
      <c r="J87" s="316"/>
      <c r="K87" s="316"/>
      <c r="L87" s="316"/>
      <c r="M87" s="316"/>
      <c r="N87" s="316"/>
      <c r="O87" s="316"/>
      <c r="P87" s="316"/>
      <c r="Q87" s="317"/>
      <c r="S87" s="483"/>
      <c r="T87" s="483"/>
      <c r="U87" s="1609"/>
      <c r="V87" s="483"/>
      <c r="W87" s="483"/>
      <c r="X87" s="483"/>
      <c r="Y87" s="483"/>
      <c r="Z87" s="483"/>
      <c r="AA87" s="483"/>
      <c r="AB87" s="483"/>
      <c r="AC87" s="483"/>
    </row>
    <row r="88" spans="1:29" ht="15.5">
      <c r="A88" s="201"/>
      <c r="B88" s="184" t="str">
        <f>'Exh F - AA-BL Items'!B121</f>
        <v>Directly Assigned A&amp;G</v>
      </c>
      <c r="C88" s="138"/>
      <c r="D88" s="148"/>
      <c r="E88" s="156"/>
      <c r="F88" s="198"/>
      <c r="G88" s="134"/>
      <c r="H88" s="134"/>
      <c r="I88" s="134"/>
      <c r="J88" s="99"/>
      <c r="K88" s="99"/>
      <c r="L88" s="99"/>
      <c r="M88" s="99"/>
      <c r="N88" s="99"/>
      <c r="O88" s="99"/>
      <c r="P88" s="99"/>
      <c r="Q88" s="282"/>
      <c r="S88" s="483"/>
      <c r="T88" s="483"/>
      <c r="U88" s="1609"/>
      <c r="V88" s="483"/>
      <c r="W88" s="483"/>
      <c r="X88" s="483"/>
      <c r="Y88" s="483"/>
      <c r="Z88" s="483"/>
      <c r="AA88" s="483"/>
      <c r="AB88" s="483"/>
      <c r="AC88" s="483"/>
    </row>
    <row r="89" spans="1:29" ht="16.5" customHeight="1" thickBot="1">
      <c r="A89" s="254">
        <v>76</v>
      </c>
      <c r="B89" s="265"/>
      <c r="C89" s="266" t="str">
        <f>'Exh F - AA-BL Items'!C122</f>
        <v>Regulatory Commission Exp Account 928</v>
      </c>
      <c r="D89" s="270"/>
      <c r="E89" s="262" t="str">
        <f>'Exh F - AA-BL Items'!E122</f>
        <v>(Note G)</v>
      </c>
      <c r="F89" s="268" t="str">
        <f>'Exh F - AA-BL Items'!F122</f>
        <v>p323.189b</v>
      </c>
      <c r="G89" s="415"/>
      <c r="H89" s="1435">
        <v>0</v>
      </c>
      <c r="I89" s="399">
        <f>+G87-H89</f>
        <v>166114</v>
      </c>
      <c r="J89" s="1568"/>
      <c r="K89" s="1568"/>
      <c r="L89" s="1568"/>
      <c r="M89" s="1568"/>
      <c r="N89" s="1568"/>
      <c r="O89" s="1568"/>
      <c r="P89" s="1568"/>
      <c r="Q89" s="1607"/>
      <c r="S89" s="483"/>
      <c r="T89" s="483"/>
      <c r="U89" s="1609"/>
      <c r="V89" s="483"/>
      <c r="W89" s="483"/>
      <c r="X89" s="483"/>
      <c r="Y89" s="483"/>
      <c r="Z89" s="483"/>
      <c r="AA89" s="483"/>
      <c r="AB89" s="483"/>
      <c r="AC89" s="483"/>
    </row>
    <row r="90" spans="1:29" ht="13">
      <c r="G90" s="97"/>
      <c r="H90" s="97"/>
      <c r="I90" s="97"/>
      <c r="J90" s="97"/>
      <c r="K90" s="97"/>
      <c r="L90" s="97"/>
      <c r="M90" s="97"/>
      <c r="N90" s="97"/>
      <c r="O90" s="97"/>
      <c r="P90" s="97"/>
      <c r="Q90" s="97"/>
      <c r="S90" s="483"/>
      <c r="T90" s="483"/>
      <c r="U90" s="1609"/>
      <c r="V90" s="483"/>
      <c r="W90" s="483"/>
      <c r="X90" s="483"/>
      <c r="Y90" s="483"/>
      <c r="Z90" s="483"/>
      <c r="AA90" s="483"/>
      <c r="AB90" s="483"/>
      <c r="AC90" s="483"/>
    </row>
    <row r="91" spans="1:29" ht="13">
      <c r="G91" s="97"/>
      <c r="H91" s="97"/>
      <c r="I91" s="97"/>
      <c r="J91" s="97"/>
      <c r="K91" s="97"/>
      <c r="L91" s="97"/>
      <c r="M91" s="97"/>
      <c r="N91" s="97"/>
      <c r="O91" s="97"/>
      <c r="P91" s="97"/>
      <c r="Q91" s="97"/>
      <c r="S91" s="483"/>
      <c r="T91" s="483"/>
      <c r="U91" s="1609"/>
      <c r="V91" s="483"/>
      <c r="W91" s="483"/>
      <c r="X91" s="483"/>
      <c r="Y91" s="483"/>
      <c r="Z91" s="483"/>
      <c r="AA91" s="483"/>
      <c r="AB91" s="483"/>
      <c r="AC91" s="483"/>
    </row>
    <row r="92" spans="1:29" ht="20.5" thickBot="1">
      <c r="A92" s="264" t="s">
        <v>540</v>
      </c>
      <c r="G92" s="97"/>
      <c r="H92" s="97"/>
      <c r="I92" s="97"/>
      <c r="J92" s="97"/>
      <c r="K92" s="97"/>
      <c r="L92" s="97"/>
      <c r="M92" s="97"/>
      <c r="N92" s="97"/>
      <c r="O92" s="97"/>
      <c r="P92" s="97"/>
      <c r="Q92" s="97"/>
      <c r="S92" s="483"/>
      <c r="T92" s="483"/>
      <c r="U92" s="1609"/>
      <c r="V92" s="483"/>
      <c r="W92" s="483"/>
      <c r="X92" s="483"/>
      <c r="Y92" s="483"/>
      <c r="Z92" s="483"/>
      <c r="AA92" s="483"/>
      <c r="AB92" s="483"/>
      <c r="AC92" s="483"/>
    </row>
    <row r="93" spans="1:29" ht="18">
      <c r="A93" s="1569" t="s">
        <v>10</v>
      </c>
      <c r="B93" s="1570"/>
      <c r="C93" s="1570"/>
      <c r="D93" s="1570"/>
      <c r="E93" s="1570"/>
      <c r="F93" s="1571"/>
      <c r="G93" s="296" t="s">
        <v>457</v>
      </c>
      <c r="H93" s="619" t="s">
        <v>463</v>
      </c>
      <c r="I93" s="619" t="s">
        <v>531</v>
      </c>
      <c r="J93" s="1572" t="s">
        <v>389</v>
      </c>
      <c r="K93" s="1574"/>
      <c r="L93" s="1574"/>
      <c r="M93" s="1574"/>
      <c r="N93" s="1574"/>
      <c r="O93" s="1574"/>
      <c r="P93" s="1574"/>
      <c r="Q93" s="1606"/>
      <c r="S93" s="483"/>
      <c r="T93" s="483"/>
      <c r="U93" s="1609"/>
      <c r="V93" s="483"/>
      <c r="W93" s="483"/>
      <c r="X93" s="483"/>
      <c r="Y93" s="483"/>
      <c r="Z93" s="483"/>
      <c r="AA93" s="483"/>
      <c r="AB93" s="483"/>
      <c r="AC93" s="483"/>
    </row>
    <row r="94" spans="1:29" ht="15.5">
      <c r="A94" s="201"/>
      <c r="B94" s="184" t="str">
        <f>'Exh F - AA-BL Items'!B121</f>
        <v>Directly Assigned A&amp;G</v>
      </c>
      <c r="C94" s="138"/>
      <c r="D94" s="148"/>
      <c r="E94" s="156"/>
      <c r="F94" s="198"/>
      <c r="G94" s="99"/>
      <c r="H94" s="99"/>
      <c r="I94" s="99"/>
      <c r="J94" s="99"/>
      <c r="K94" s="99"/>
      <c r="L94" s="99"/>
      <c r="M94" s="99"/>
      <c r="N94" s="99"/>
      <c r="O94" s="99"/>
      <c r="P94" s="99"/>
      <c r="Q94" s="282"/>
      <c r="S94" s="483"/>
      <c r="T94" s="483"/>
      <c r="U94" s="1609"/>
      <c r="V94" s="483"/>
      <c r="W94" s="483"/>
      <c r="X94" s="483"/>
      <c r="Y94" s="483"/>
      <c r="Z94" s="483"/>
      <c r="AA94" s="483"/>
      <c r="AB94" s="483"/>
      <c r="AC94" s="483"/>
    </row>
    <row r="95" spans="1:29" ht="16" thickBot="1">
      <c r="A95" s="254">
        <v>80</v>
      </c>
      <c r="B95" s="265"/>
      <c r="C95" s="266" t="str">
        <f>'Exh F - AA-BL Items'!C127</f>
        <v>General Advertising Exp Account 930.1</v>
      </c>
      <c r="D95" s="470"/>
      <c r="E95" s="270" t="str">
        <f>'Exh F - AA-BL Items'!E127</f>
        <v>(Note F)</v>
      </c>
      <c r="F95" s="268" t="str">
        <f>'Exh F - AA-BL Items'!F127</f>
        <v>p323.191.b</v>
      </c>
      <c r="G95" s="400">
        <v>1156316</v>
      </c>
      <c r="H95" s="401">
        <v>0</v>
      </c>
      <c r="I95" s="401">
        <f>+G95-H95</f>
        <v>1156316</v>
      </c>
      <c r="J95" s="1612" t="s">
        <v>769</v>
      </c>
      <c r="K95" s="1612"/>
      <c r="L95" s="1612"/>
      <c r="M95" s="1612"/>
      <c r="N95" s="1612"/>
      <c r="O95" s="1612"/>
      <c r="P95" s="1612"/>
      <c r="Q95" s="1613"/>
      <c r="S95" s="483"/>
      <c r="T95" s="483"/>
      <c r="U95" s="1609"/>
      <c r="V95" s="483"/>
      <c r="W95" s="483"/>
      <c r="X95" s="483"/>
      <c r="Y95" s="483"/>
      <c r="Z95" s="483"/>
      <c r="AA95" s="483"/>
      <c r="AB95" s="483"/>
      <c r="AC95" s="483"/>
    </row>
    <row r="96" spans="1:29" ht="15.5">
      <c r="A96" s="163"/>
      <c r="B96" s="216"/>
      <c r="C96" s="165"/>
      <c r="D96" s="148"/>
      <c r="E96" s="147"/>
      <c r="F96" s="165"/>
      <c r="G96" s="134"/>
      <c r="H96" s="134"/>
      <c r="I96" s="134"/>
      <c r="J96" s="622"/>
      <c r="K96" s="621"/>
      <c r="L96" s="621"/>
      <c r="M96" s="621"/>
      <c r="N96" s="621"/>
      <c r="O96" s="621"/>
      <c r="P96" s="621"/>
      <c r="Q96" s="621"/>
      <c r="S96" s="483"/>
      <c r="T96" s="483"/>
      <c r="U96" s="1609"/>
      <c r="V96" s="483"/>
      <c r="W96" s="483"/>
      <c r="X96" s="483"/>
      <c r="Y96" s="483"/>
      <c r="Z96" s="483"/>
      <c r="AA96" s="483"/>
      <c r="AB96" s="483"/>
      <c r="AC96" s="483"/>
    </row>
    <row r="97" spans="1:29" ht="13">
      <c r="G97" s="97"/>
      <c r="H97" s="97"/>
      <c r="I97" s="97"/>
      <c r="J97" s="97"/>
      <c r="K97" s="97"/>
      <c r="L97" s="97"/>
      <c r="M97" s="97"/>
      <c r="N97" s="97"/>
      <c r="O97" s="97"/>
      <c r="P97" s="97"/>
      <c r="Q97" s="97"/>
      <c r="S97" s="483"/>
      <c r="T97" s="483"/>
      <c r="U97" s="1609"/>
      <c r="V97" s="483"/>
      <c r="W97" s="483"/>
      <c r="X97" s="483"/>
      <c r="Y97" s="483"/>
      <c r="Z97" s="483"/>
      <c r="AA97" s="483"/>
      <c r="AB97" s="483"/>
      <c r="AC97" s="483"/>
    </row>
    <row r="98" spans="1:29" ht="20.5" thickBot="1">
      <c r="A98" s="264" t="s">
        <v>983</v>
      </c>
      <c r="G98" s="97"/>
      <c r="H98" s="97"/>
      <c r="I98" s="97"/>
      <c r="J98" s="97"/>
      <c r="K98" s="97"/>
      <c r="L98" s="97"/>
      <c r="M98" s="97"/>
      <c r="N98" s="97"/>
      <c r="O98" s="97"/>
      <c r="P98" s="97"/>
      <c r="Q98" s="97"/>
      <c r="S98" s="483"/>
      <c r="T98" s="483"/>
      <c r="U98" s="1609"/>
      <c r="V98" s="483"/>
      <c r="W98" s="483"/>
      <c r="X98" s="483"/>
      <c r="Y98" s="483"/>
      <c r="Z98" s="483"/>
      <c r="AA98" s="483"/>
      <c r="AB98" s="483"/>
      <c r="AC98" s="483"/>
    </row>
    <row r="99" spans="1:29" ht="18">
      <c r="A99" s="1569" t="s">
        <v>10</v>
      </c>
      <c r="B99" s="1570"/>
      <c r="C99" s="1570"/>
      <c r="D99" s="1570"/>
      <c r="E99" s="1570"/>
      <c r="F99" s="1570"/>
      <c r="G99" s="296" t="s">
        <v>467</v>
      </c>
      <c r="H99" s="619" t="s">
        <v>468</v>
      </c>
      <c r="I99" s="619" t="s">
        <v>469</v>
      </c>
      <c r="J99" s="619" t="s">
        <v>470</v>
      </c>
      <c r="K99" s="619" t="s">
        <v>471</v>
      </c>
      <c r="L99" s="1572" t="s">
        <v>389</v>
      </c>
      <c r="M99" s="1574"/>
      <c r="N99" s="1574"/>
      <c r="O99" s="1574"/>
      <c r="P99" s="1574"/>
      <c r="Q99" s="1606"/>
      <c r="S99" s="483"/>
      <c r="T99" s="483"/>
      <c r="U99" s="1609"/>
      <c r="V99" s="483"/>
      <c r="W99" s="483"/>
      <c r="X99" s="483"/>
      <c r="Y99" s="483"/>
      <c r="Z99" s="483"/>
      <c r="AA99" s="483"/>
      <c r="AB99" s="483"/>
      <c r="AC99" s="483"/>
    </row>
    <row r="100" spans="1:29" ht="15.75" customHeight="1">
      <c r="A100" s="192" t="s">
        <v>154</v>
      </c>
      <c r="B100" s="173" t="s">
        <v>251</v>
      </c>
      <c r="C100" s="84"/>
      <c r="D100" s="84"/>
      <c r="E100" s="156"/>
      <c r="F100" s="154"/>
      <c r="G100" s="284"/>
      <c r="H100" s="99"/>
      <c r="I100" s="99"/>
      <c r="J100" s="99"/>
      <c r="K100" s="99"/>
      <c r="L100" s="99"/>
      <c r="M100" s="99"/>
      <c r="N100" s="99"/>
      <c r="O100" s="99"/>
      <c r="P100" s="99"/>
      <c r="Q100" s="282"/>
      <c r="S100" s="483"/>
      <c r="T100" s="483"/>
      <c r="U100" s="1609"/>
      <c r="V100" s="483"/>
      <c r="W100" s="483"/>
      <c r="X100" s="483"/>
      <c r="Y100" s="483"/>
      <c r="Z100" s="483"/>
      <c r="AA100" s="483"/>
      <c r="AB100" s="483"/>
      <c r="AC100" s="483"/>
    </row>
    <row r="101" spans="1:29" ht="15.5">
      <c r="A101" s="192"/>
      <c r="B101" s="173"/>
      <c r="C101" s="84"/>
      <c r="D101" s="84"/>
      <c r="E101" s="156"/>
      <c r="F101" s="154"/>
      <c r="G101" s="286" t="s">
        <v>40</v>
      </c>
      <c r="H101" s="134" t="s">
        <v>464</v>
      </c>
      <c r="I101" s="134" t="s">
        <v>464</v>
      </c>
      <c r="J101" s="134" t="s">
        <v>464</v>
      </c>
      <c r="K101" s="134" t="s">
        <v>464</v>
      </c>
      <c r="L101" s="1565" t="s">
        <v>466</v>
      </c>
      <c r="M101" s="1575"/>
      <c r="N101" s="1575"/>
      <c r="O101" s="1575"/>
      <c r="P101" s="1575"/>
      <c r="Q101" s="1614"/>
      <c r="S101" s="483"/>
      <c r="T101" s="483"/>
      <c r="U101" s="1609"/>
      <c r="V101" s="483"/>
      <c r="W101" s="483"/>
      <c r="X101" s="483"/>
      <c r="Y101" s="483"/>
      <c r="Z101" s="483"/>
      <c r="AA101" s="483"/>
      <c r="AB101" s="483"/>
      <c r="AC101" s="483"/>
    </row>
    <row r="102" spans="1:29" ht="16" thickBot="1">
      <c r="A102" s="254">
        <v>128</v>
      </c>
      <c r="B102" s="255"/>
      <c r="C102" s="277" t="str">
        <f>'Exh F - AA-BL Items'!C205</f>
        <v>SIT=State Income Tax Rate or Composite</v>
      </c>
      <c r="D102" s="278"/>
      <c r="E102" s="257" t="str">
        <f>'Exh F - AA-BL Items'!E205</f>
        <v>(Note I)</v>
      </c>
      <c r="F102" s="256">
        <f>'Exh F - AA-BL Items'!F205</f>
        <v>0</v>
      </c>
      <c r="G102" s="402">
        <v>8.2500000000000004E-2</v>
      </c>
      <c r="H102" s="332" t="s">
        <v>465</v>
      </c>
      <c r="I102" s="332" t="s">
        <v>465</v>
      </c>
      <c r="J102" s="332" t="s">
        <v>465</v>
      </c>
      <c r="K102" s="332" t="s">
        <v>465</v>
      </c>
      <c r="L102" s="1568" t="s">
        <v>41</v>
      </c>
      <c r="M102" s="1576"/>
      <c r="N102" s="1576"/>
      <c r="O102" s="1576"/>
      <c r="P102" s="1576"/>
      <c r="Q102" s="1627"/>
      <c r="S102" s="483"/>
      <c r="T102" s="483"/>
      <c r="U102" s="1609"/>
      <c r="V102" s="483"/>
      <c r="W102" s="483"/>
      <c r="X102" s="483"/>
      <c r="Y102" s="483"/>
      <c r="Z102" s="483"/>
      <c r="AA102" s="483"/>
      <c r="AB102" s="483"/>
      <c r="AC102" s="483"/>
    </row>
    <row r="103" spans="1:29" ht="13">
      <c r="G103" s="97"/>
      <c r="H103" s="97"/>
      <c r="I103" s="97"/>
      <c r="J103" s="97"/>
      <c r="K103" s="97"/>
      <c r="L103" s="97"/>
      <c r="M103" s="97"/>
      <c r="N103" s="97"/>
      <c r="O103" s="97"/>
      <c r="P103" s="97"/>
      <c r="Q103" s="97"/>
      <c r="S103" s="483"/>
      <c r="T103" s="483"/>
      <c r="U103" s="483"/>
      <c r="V103" s="483"/>
      <c r="W103" s="483"/>
      <c r="X103" s="483"/>
      <c r="Y103" s="483"/>
      <c r="Z103" s="483"/>
      <c r="AA103" s="483"/>
      <c r="AB103" s="483"/>
      <c r="AC103" s="483"/>
    </row>
    <row r="104" spans="1:29" ht="13">
      <c r="G104" s="97"/>
      <c r="H104" s="97"/>
      <c r="I104" s="97"/>
      <c r="J104" s="97"/>
      <c r="K104" s="97"/>
      <c r="L104" s="97"/>
      <c r="M104" s="97"/>
      <c r="N104" s="97"/>
      <c r="O104" s="97"/>
      <c r="P104" s="97"/>
      <c r="Q104" s="97"/>
      <c r="S104" s="483"/>
      <c r="T104" s="483"/>
      <c r="U104" s="483"/>
      <c r="V104" s="483"/>
      <c r="W104" s="483"/>
      <c r="X104" s="483"/>
      <c r="Y104" s="483"/>
      <c r="Z104" s="483"/>
      <c r="AA104" s="483"/>
      <c r="AB104" s="483"/>
      <c r="AC104" s="483"/>
    </row>
    <row r="105" spans="1:29" ht="20.5" thickBot="1">
      <c r="A105" s="264" t="s">
        <v>541</v>
      </c>
      <c r="G105" s="97"/>
      <c r="H105" s="97"/>
      <c r="I105" s="97"/>
      <c r="J105" s="97"/>
      <c r="K105" s="97"/>
      <c r="L105" s="97"/>
      <c r="M105" s="97"/>
      <c r="N105" s="97"/>
      <c r="O105" s="97"/>
      <c r="P105" s="97"/>
      <c r="Q105" s="97"/>
      <c r="S105" s="483"/>
      <c r="T105" s="483"/>
      <c r="U105" s="483"/>
      <c r="V105" s="483"/>
      <c r="W105" s="483"/>
      <c r="X105" s="483"/>
      <c r="Y105" s="483"/>
      <c r="Z105" s="483"/>
      <c r="AA105" s="483"/>
      <c r="AB105" s="483"/>
      <c r="AC105" s="483"/>
    </row>
    <row r="106" spans="1:29" ht="18">
      <c r="A106" s="1569" t="s">
        <v>10</v>
      </c>
      <c r="B106" s="1570"/>
      <c r="C106" s="1570"/>
      <c r="D106" s="1570"/>
      <c r="E106" s="1570"/>
      <c r="F106" s="1571"/>
      <c r="G106" s="296" t="s">
        <v>457</v>
      </c>
      <c r="H106" s="619" t="s">
        <v>472</v>
      </c>
      <c r="I106" s="619" t="s">
        <v>473</v>
      </c>
      <c r="J106" s="1572" t="s">
        <v>389</v>
      </c>
      <c r="K106" s="1574"/>
      <c r="L106" s="1574"/>
      <c r="M106" s="1574"/>
      <c r="N106" s="1574"/>
      <c r="O106" s="1574"/>
      <c r="P106" s="1574"/>
      <c r="Q106" s="1606"/>
      <c r="S106" s="483"/>
      <c r="T106" s="483"/>
      <c r="U106" s="483"/>
      <c r="V106" s="483"/>
      <c r="W106" s="483"/>
      <c r="X106" s="483"/>
      <c r="Y106" s="483"/>
      <c r="Z106" s="483"/>
      <c r="AA106" s="483"/>
      <c r="AB106" s="483"/>
      <c r="AC106" s="483"/>
    </row>
    <row r="107" spans="1:29" ht="15.5">
      <c r="A107" s="201"/>
      <c r="B107" s="184" t="s">
        <v>180</v>
      </c>
      <c r="C107" s="138"/>
      <c r="D107" s="148"/>
      <c r="E107" s="156"/>
      <c r="F107" s="198"/>
      <c r="G107" s="99"/>
      <c r="H107" s="99"/>
      <c r="I107" s="99"/>
      <c r="J107" s="99"/>
      <c r="K107" s="99"/>
      <c r="L107" s="99"/>
      <c r="M107" s="99"/>
      <c r="N107" s="99"/>
      <c r="O107" s="99"/>
      <c r="P107" s="99"/>
      <c r="Q107" s="282"/>
      <c r="S107" s="483"/>
      <c r="T107" s="483"/>
      <c r="U107" s="483"/>
      <c r="V107" s="483"/>
      <c r="W107" s="483"/>
      <c r="X107" s="483"/>
      <c r="Y107" s="483"/>
      <c r="Z107" s="483"/>
      <c r="AA107" s="483"/>
      <c r="AB107" s="483"/>
      <c r="AC107" s="483"/>
    </row>
    <row r="108" spans="1:29" ht="16" thickBot="1">
      <c r="A108" s="254">
        <v>77</v>
      </c>
      <c r="B108" s="265"/>
      <c r="C108" s="266" t="str">
        <f>'Exh F - AA-BL Items'!C123</f>
        <v>General Advertising Exp Account 930.1</v>
      </c>
      <c r="D108" s="279"/>
      <c r="E108" s="270" t="str">
        <f>'Exh F - AA-BL Items'!E123</f>
        <v>(Note K)</v>
      </c>
      <c r="F108" s="268" t="str">
        <f>'Exh F - AA-BL Items'!F123</f>
        <v>p323.191.b</v>
      </c>
      <c r="G108" s="403">
        <f>+G95</f>
        <v>1156316</v>
      </c>
      <c r="H108" s="332">
        <v>0</v>
      </c>
      <c r="I108" s="332">
        <v>0</v>
      </c>
      <c r="J108" s="1629"/>
      <c r="K108" s="1568"/>
      <c r="L108" s="1568"/>
      <c r="M108" s="1568"/>
      <c r="N108" s="1568"/>
      <c r="O108" s="1568"/>
      <c r="P108" s="1568"/>
      <c r="Q108" s="1607"/>
      <c r="S108" s="483"/>
      <c r="T108" s="483"/>
      <c r="U108" s="483"/>
      <c r="V108" s="483"/>
      <c r="W108" s="483"/>
      <c r="X108" s="483"/>
      <c r="Y108" s="483"/>
      <c r="Z108" s="483"/>
      <c r="AA108" s="483"/>
      <c r="AB108" s="483"/>
      <c r="AC108" s="483"/>
    </row>
    <row r="109" spans="1:29" ht="13">
      <c r="G109" s="97"/>
      <c r="H109" s="97"/>
      <c r="I109" s="97"/>
      <c r="J109" s="97"/>
      <c r="K109" s="97"/>
      <c r="L109" s="97"/>
      <c r="M109" s="97"/>
      <c r="N109" s="97"/>
      <c r="O109" s="97"/>
      <c r="P109" s="97"/>
      <c r="Q109" s="97"/>
      <c r="S109" s="483"/>
      <c r="T109" s="483"/>
      <c r="U109" s="483"/>
      <c r="V109" s="483"/>
      <c r="W109" s="483"/>
      <c r="X109" s="483"/>
      <c r="Y109" s="483"/>
      <c r="Z109" s="483"/>
      <c r="AA109" s="483"/>
      <c r="AB109" s="483"/>
      <c r="AC109" s="483"/>
    </row>
    <row r="110" spans="1:29" ht="12.75" customHeight="1">
      <c r="G110" s="97"/>
      <c r="H110" s="97"/>
      <c r="I110" s="97"/>
      <c r="J110" s="97"/>
      <c r="K110" s="97"/>
      <c r="L110" s="97"/>
      <c r="M110" s="97"/>
      <c r="N110" s="97"/>
      <c r="O110" s="97"/>
      <c r="P110" s="97"/>
      <c r="Q110" s="97"/>
      <c r="S110" s="483"/>
      <c r="T110" s="483"/>
      <c r="U110" s="483"/>
      <c r="V110" s="483"/>
      <c r="W110" s="483"/>
      <c r="X110" s="483"/>
      <c r="Y110" s="483"/>
      <c r="Z110" s="483"/>
      <c r="AA110" s="483"/>
      <c r="AB110" s="483"/>
      <c r="AC110" s="483"/>
    </row>
    <row r="111" spans="1:29" ht="12.75" customHeight="1">
      <c r="A111" s="557"/>
      <c r="B111" s="557"/>
      <c r="C111" s="557"/>
      <c r="D111" s="557"/>
      <c r="E111" s="557"/>
      <c r="F111" s="557"/>
      <c r="G111" s="99"/>
      <c r="H111" s="99"/>
      <c r="I111" s="99"/>
      <c r="J111" s="99"/>
      <c r="K111" s="100"/>
      <c r="L111" s="99"/>
      <c r="M111" s="99"/>
      <c r="N111" s="99"/>
      <c r="O111" s="99"/>
      <c r="P111" s="99"/>
      <c r="Q111" s="99"/>
      <c r="S111" s="483"/>
      <c r="T111" s="483"/>
      <c r="U111" s="483"/>
      <c r="V111" s="483"/>
      <c r="W111" s="483"/>
      <c r="X111" s="483"/>
      <c r="Y111" s="483"/>
      <c r="Z111" s="483"/>
      <c r="AA111" s="483"/>
      <c r="AB111" s="483"/>
      <c r="AC111" s="483"/>
    </row>
    <row r="112" spans="1:29" ht="21.25" customHeight="1" thickBot="1">
      <c r="A112" s="264" t="s">
        <v>543</v>
      </c>
      <c r="G112" s="97"/>
      <c r="H112" s="97"/>
      <c r="I112" s="97"/>
      <c r="J112" s="97"/>
      <c r="K112" s="97"/>
      <c r="L112" s="97"/>
      <c r="M112" s="97"/>
      <c r="N112" s="97"/>
      <c r="O112" s="97"/>
      <c r="P112" s="97"/>
      <c r="Q112" s="97"/>
      <c r="S112" s="483"/>
      <c r="T112" s="483"/>
      <c r="U112" s="483"/>
      <c r="V112" s="483"/>
      <c r="W112" s="483"/>
      <c r="X112" s="483"/>
      <c r="Y112" s="483"/>
      <c r="Z112" s="483"/>
      <c r="AA112" s="483"/>
      <c r="AB112" s="483"/>
      <c r="AC112" s="483"/>
    </row>
    <row r="113" spans="1:29" ht="39.25" customHeight="1">
      <c r="A113" s="1569" t="s">
        <v>10</v>
      </c>
      <c r="B113" s="1570"/>
      <c r="C113" s="1570"/>
      <c r="D113" s="1570"/>
      <c r="E113" s="1570"/>
      <c r="F113" s="1571"/>
      <c r="G113" s="619" t="str">
        <f>+C115</f>
        <v>Excluded Transmission Facilities</v>
      </c>
      <c r="H113" s="1572" t="s">
        <v>475</v>
      </c>
      <c r="I113" s="1573"/>
      <c r="J113" s="1573"/>
      <c r="K113" s="1573"/>
      <c r="L113" s="1573"/>
      <c r="M113" s="1573"/>
      <c r="N113" s="1573"/>
      <c r="O113" s="1573"/>
      <c r="P113" s="1573"/>
      <c r="Q113" s="1628"/>
      <c r="S113" s="483"/>
      <c r="T113" s="483"/>
      <c r="U113" s="483"/>
      <c r="V113" s="483"/>
      <c r="W113" s="483"/>
      <c r="X113" s="483"/>
      <c r="Y113" s="483"/>
      <c r="Z113" s="483"/>
      <c r="AA113" s="483"/>
      <c r="AB113" s="483"/>
      <c r="AC113" s="483"/>
    </row>
    <row r="114" spans="1:29" ht="18" customHeight="1">
      <c r="A114" s="235"/>
      <c r="B114" s="135" t="s">
        <v>183</v>
      </c>
      <c r="C114" s="179"/>
      <c r="D114" s="180"/>
      <c r="E114" s="181"/>
      <c r="F114" s="236"/>
      <c r="G114" s="99"/>
      <c r="H114" s="99"/>
      <c r="I114" s="99"/>
      <c r="J114" s="99"/>
      <c r="K114" s="99"/>
      <c r="L114" s="99"/>
      <c r="M114" s="99"/>
      <c r="N114" s="99"/>
      <c r="O114" s="99"/>
      <c r="P114" s="99"/>
      <c r="Q114" s="282"/>
      <c r="S114" s="483"/>
      <c r="T114" s="483"/>
      <c r="U114" s="483"/>
      <c r="V114" s="483"/>
      <c r="W114" s="483"/>
      <c r="X114" s="483"/>
      <c r="Y114" s="483"/>
      <c r="Z114" s="483"/>
      <c r="AA114" s="483"/>
      <c r="AB114" s="483"/>
      <c r="AC114" s="483"/>
    </row>
    <row r="115" spans="1:29" ht="18" customHeight="1">
      <c r="A115" s="201">
        <v>148</v>
      </c>
      <c r="B115" s="182"/>
      <c r="C115" s="165" t="str">
        <f>+'ATT H-2A'!C274</f>
        <v>Excluded Transmission Facilities</v>
      </c>
      <c r="D115" s="180"/>
      <c r="E115" s="182" t="str">
        <f>+'ATT H-2A'!E274</f>
        <v>(Note M)</v>
      </c>
      <c r="F115" s="280" t="str">
        <f>+'ATT H-2A'!F274</f>
        <v>Attachment 5</v>
      </c>
      <c r="G115" s="312">
        <v>0</v>
      </c>
      <c r="H115" s="1565" t="s">
        <v>478</v>
      </c>
      <c r="I115" s="1566"/>
      <c r="J115" s="1566"/>
      <c r="K115" s="1566"/>
      <c r="L115" s="1566"/>
      <c r="M115" s="1566"/>
      <c r="N115" s="1566"/>
      <c r="O115" s="1566"/>
      <c r="P115" s="1566"/>
      <c r="Q115" s="1603"/>
      <c r="S115" s="483"/>
      <c r="T115" s="483"/>
      <c r="U115" s="483"/>
      <c r="V115" s="483"/>
      <c r="W115" s="483"/>
      <c r="X115" s="483"/>
      <c r="Y115" s="483"/>
      <c r="Z115" s="483"/>
      <c r="AA115" s="483"/>
      <c r="AB115" s="483"/>
      <c r="AC115" s="483"/>
    </row>
    <row r="116" spans="1:29" ht="18" customHeight="1">
      <c r="A116" s="201"/>
      <c r="B116" s="182"/>
      <c r="C116" s="159"/>
      <c r="D116" s="180"/>
      <c r="E116" s="161"/>
      <c r="F116" s="202"/>
      <c r="G116" s="99"/>
      <c r="H116" s="99"/>
      <c r="I116" s="99"/>
      <c r="J116" s="99"/>
      <c r="K116" s="99"/>
      <c r="L116" s="99"/>
      <c r="M116" s="99"/>
      <c r="N116" s="99"/>
      <c r="O116" s="134"/>
      <c r="P116" s="99"/>
      <c r="Q116" s="282"/>
      <c r="S116" s="483"/>
      <c r="T116" s="483"/>
      <c r="U116" s="483"/>
      <c r="V116" s="483"/>
      <c r="W116" s="483"/>
      <c r="X116" s="483"/>
      <c r="Y116" s="483"/>
      <c r="Z116" s="483"/>
      <c r="AA116" s="483"/>
      <c r="AB116" s="483"/>
      <c r="AC116" s="483"/>
    </row>
    <row r="117" spans="1:29" ht="18" customHeight="1">
      <c r="A117" s="201"/>
      <c r="B117" s="182"/>
      <c r="C117" s="159" t="s">
        <v>114</v>
      </c>
      <c r="D117" s="180"/>
      <c r="E117" s="161"/>
      <c r="F117" s="202"/>
      <c r="G117" s="134" t="s">
        <v>474</v>
      </c>
      <c r="H117" s="1565" t="s">
        <v>39</v>
      </c>
      <c r="I117" s="1566"/>
      <c r="J117" s="1566"/>
      <c r="K117" s="1566"/>
      <c r="L117" s="1566"/>
      <c r="M117" s="1566"/>
      <c r="N117" s="1566"/>
      <c r="O117" s="1566"/>
      <c r="P117" s="1566"/>
      <c r="Q117" s="1603"/>
      <c r="S117" s="483"/>
      <c r="T117" s="483"/>
      <c r="U117" s="483"/>
      <c r="V117" s="483"/>
      <c r="W117" s="483"/>
      <c r="X117" s="483"/>
      <c r="Y117" s="483"/>
      <c r="Z117" s="483"/>
      <c r="AA117" s="483"/>
      <c r="AB117" s="483"/>
      <c r="AC117" s="483"/>
    </row>
    <row r="118" spans="1:29" ht="18" customHeight="1">
      <c r="A118" s="201"/>
      <c r="B118" s="182">
        <v>1</v>
      </c>
      <c r="C118" s="159" t="s">
        <v>405</v>
      </c>
      <c r="D118" s="180"/>
      <c r="E118" s="161"/>
      <c r="F118" s="202"/>
      <c r="G118" s="431"/>
      <c r="H118" s="1565"/>
      <c r="I118" s="1566"/>
      <c r="J118" s="1566"/>
      <c r="K118" s="1566"/>
      <c r="L118" s="1566"/>
      <c r="M118" s="1566"/>
      <c r="N118" s="1566"/>
      <c r="O118" s="1566"/>
      <c r="P118" s="1566"/>
      <c r="Q118" s="1603"/>
      <c r="S118" s="483"/>
      <c r="T118" s="483"/>
      <c r="U118" s="483"/>
      <c r="V118" s="483"/>
      <c r="W118" s="483"/>
      <c r="X118" s="483"/>
      <c r="Y118" s="483"/>
      <c r="Z118" s="483"/>
      <c r="AA118" s="483"/>
      <c r="AB118" s="483"/>
      <c r="AC118" s="483"/>
    </row>
    <row r="119" spans="1:29" ht="18" customHeight="1">
      <c r="A119" s="201"/>
      <c r="B119" s="182"/>
      <c r="C119" s="159" t="s">
        <v>406</v>
      </c>
      <c r="D119" s="180"/>
      <c r="E119" s="161"/>
      <c r="F119" s="202"/>
      <c r="G119" s="431"/>
      <c r="H119" s="622"/>
      <c r="I119" s="621"/>
      <c r="J119" s="621"/>
      <c r="K119" s="621"/>
      <c r="L119" s="621"/>
      <c r="M119" s="621"/>
      <c r="N119" s="621"/>
      <c r="O119" s="621"/>
      <c r="P119" s="621"/>
      <c r="Q119" s="623"/>
      <c r="S119" s="483"/>
      <c r="T119" s="483"/>
      <c r="U119" s="483"/>
      <c r="V119" s="483"/>
      <c r="W119" s="483"/>
      <c r="X119" s="483"/>
      <c r="Y119" s="483"/>
      <c r="Z119" s="483"/>
      <c r="AA119" s="483"/>
      <c r="AB119" s="483"/>
      <c r="AC119" s="483"/>
    </row>
    <row r="120" spans="1:29" ht="18" customHeight="1">
      <c r="A120" s="201"/>
      <c r="B120" s="182">
        <v>2</v>
      </c>
      <c r="C120" s="159" t="s">
        <v>115</v>
      </c>
      <c r="D120" s="180"/>
      <c r="E120" s="161"/>
      <c r="F120" s="202"/>
      <c r="G120" s="134" t="s">
        <v>116</v>
      </c>
      <c r="H120" s="1565"/>
      <c r="I120" s="1566"/>
      <c r="J120" s="1566"/>
      <c r="K120" s="1566"/>
      <c r="L120" s="1566"/>
      <c r="M120" s="1566"/>
      <c r="N120" s="1566"/>
      <c r="O120" s="1566"/>
      <c r="P120" s="1566"/>
      <c r="Q120" s="1603"/>
      <c r="S120" s="483"/>
      <c r="T120" s="483"/>
      <c r="U120" s="483"/>
      <c r="V120" s="483"/>
      <c r="W120" s="483"/>
      <c r="X120" s="483"/>
      <c r="Y120" s="483"/>
      <c r="Z120" s="483"/>
      <c r="AA120" s="483"/>
      <c r="AB120" s="483"/>
      <c r="AC120" s="483"/>
    </row>
    <row r="121" spans="1:29" ht="18" customHeight="1">
      <c r="A121" s="201"/>
      <c r="B121" s="182"/>
      <c r="C121" s="159" t="s">
        <v>117</v>
      </c>
      <c r="D121" s="464" t="s">
        <v>118</v>
      </c>
      <c r="E121" s="161"/>
      <c r="F121" s="202"/>
      <c r="G121" s="134" t="str">
        <f>+G117</f>
        <v>Enter $</v>
      </c>
      <c r="H121" s="1565"/>
      <c r="I121" s="1566"/>
      <c r="J121" s="1566"/>
      <c r="K121" s="1566"/>
      <c r="L121" s="1566"/>
      <c r="M121" s="1566"/>
      <c r="N121" s="1566"/>
      <c r="O121" s="1566"/>
      <c r="P121" s="1566"/>
      <c r="Q121" s="1603"/>
      <c r="S121" s="483"/>
      <c r="T121" s="483"/>
      <c r="U121" s="483"/>
      <c r="V121" s="483"/>
      <c r="W121" s="483"/>
      <c r="X121" s="483"/>
      <c r="Y121" s="483"/>
      <c r="Z121" s="483"/>
      <c r="AA121" s="483"/>
      <c r="AB121" s="483"/>
      <c r="AC121" s="483"/>
    </row>
    <row r="122" spans="1:29" ht="15.75" customHeight="1">
      <c r="A122" s="554"/>
      <c r="B122" s="728" t="s">
        <v>156</v>
      </c>
      <c r="C122" s="159" t="s">
        <v>119</v>
      </c>
      <c r="D122" s="507">
        <v>1000000</v>
      </c>
      <c r="E122" s="477"/>
      <c r="F122" s="564"/>
      <c r="G122" s="431"/>
      <c r="H122" s="1565"/>
      <c r="I122" s="1566"/>
      <c r="J122" s="1566"/>
      <c r="K122" s="1566"/>
      <c r="L122" s="1566"/>
      <c r="M122" s="1566"/>
      <c r="N122" s="1566"/>
      <c r="O122" s="1566"/>
      <c r="P122" s="1566"/>
      <c r="Q122" s="1603"/>
      <c r="S122" s="483"/>
      <c r="T122" s="483"/>
      <c r="U122" s="483"/>
      <c r="V122" s="483"/>
      <c r="W122" s="483"/>
      <c r="X122" s="483"/>
      <c r="Y122" s="483"/>
      <c r="Z122" s="483"/>
      <c r="AA122" s="483"/>
      <c r="AB122" s="483"/>
      <c r="AC122" s="483"/>
    </row>
    <row r="123" spans="1:29" ht="15.75" customHeight="1">
      <c r="A123" s="554"/>
      <c r="B123" s="728" t="s">
        <v>293</v>
      </c>
      <c r="C123" s="159" t="s">
        <v>120</v>
      </c>
      <c r="D123" s="507">
        <v>500000</v>
      </c>
      <c r="E123" s="477"/>
      <c r="F123" s="564"/>
      <c r="G123" s="431"/>
      <c r="H123" s="1565"/>
      <c r="I123" s="1566"/>
      <c r="J123" s="1566"/>
      <c r="K123" s="1566"/>
      <c r="L123" s="1566"/>
      <c r="M123" s="1566"/>
      <c r="N123" s="1566"/>
      <c r="O123" s="1566"/>
      <c r="P123" s="1566"/>
      <c r="Q123" s="1603"/>
      <c r="S123" s="483"/>
      <c r="T123" s="483"/>
      <c r="U123" s="483"/>
      <c r="V123" s="483"/>
      <c r="W123" s="483"/>
      <c r="X123" s="483"/>
      <c r="Y123" s="483"/>
      <c r="Z123" s="483"/>
      <c r="AA123" s="483"/>
      <c r="AB123" s="483"/>
      <c r="AC123" s="483"/>
    </row>
    <row r="124" spans="1:29" ht="15.75" customHeight="1">
      <c r="A124" s="554"/>
      <c r="B124" s="728" t="s">
        <v>133</v>
      </c>
      <c r="C124" s="159" t="s">
        <v>121</v>
      </c>
      <c r="D124" s="507">
        <v>400000</v>
      </c>
      <c r="E124" s="477"/>
      <c r="F124" s="564"/>
      <c r="G124" s="431"/>
      <c r="H124" s="1565"/>
      <c r="I124" s="1566"/>
      <c r="J124" s="1566"/>
      <c r="K124" s="1566"/>
      <c r="L124" s="1566"/>
      <c r="M124" s="1566"/>
      <c r="N124" s="1566"/>
      <c r="O124" s="1566"/>
      <c r="P124" s="1566"/>
      <c r="Q124" s="1603"/>
      <c r="S124" s="483"/>
      <c r="T124" s="483"/>
      <c r="U124" s="483"/>
      <c r="V124" s="483"/>
      <c r="W124" s="483"/>
      <c r="X124" s="483"/>
      <c r="Y124" s="483"/>
      <c r="Z124" s="483"/>
      <c r="AA124" s="483"/>
      <c r="AB124" s="483"/>
      <c r="AC124" s="483"/>
    </row>
    <row r="125" spans="1:29" ht="15.75" customHeight="1">
      <c r="A125" s="554"/>
      <c r="B125" s="728" t="s">
        <v>157</v>
      </c>
      <c r="C125" s="159" t="s">
        <v>122</v>
      </c>
      <c r="D125" s="507">
        <f>+D122*(D124/(D123+D124))</f>
        <v>444444.44444444444</v>
      </c>
      <c r="E125" s="477"/>
      <c r="F125" s="564"/>
      <c r="G125" s="431"/>
      <c r="H125" s="1565"/>
      <c r="I125" s="1566"/>
      <c r="J125" s="1566"/>
      <c r="K125" s="1566"/>
      <c r="L125" s="1566"/>
      <c r="M125" s="1566"/>
      <c r="N125" s="1566"/>
      <c r="O125" s="1566"/>
      <c r="P125" s="1566"/>
      <c r="Q125" s="1603"/>
      <c r="S125" s="483"/>
      <c r="T125" s="483"/>
      <c r="U125" s="483"/>
      <c r="V125" s="483"/>
      <c r="W125" s="483"/>
      <c r="X125" s="483"/>
      <c r="Y125" s="483"/>
      <c r="Z125" s="483"/>
      <c r="AA125" s="483"/>
      <c r="AB125" s="483"/>
      <c r="AC125" s="483"/>
    </row>
    <row r="126" spans="1:29" ht="13.75" customHeight="1" thickBot="1">
      <c r="A126" s="565"/>
      <c r="B126" s="726"/>
      <c r="C126" s="726"/>
      <c r="D126" s="726"/>
      <c r="E126" s="726"/>
      <c r="F126" s="570"/>
      <c r="G126" s="283"/>
      <c r="H126" s="283"/>
      <c r="I126" s="283"/>
      <c r="J126" s="283"/>
      <c r="K126" s="298" t="s">
        <v>477</v>
      </c>
      <c r="L126" s="283"/>
      <c r="M126" s="283"/>
      <c r="N126" s="283"/>
      <c r="O126" s="283"/>
      <c r="P126" s="283"/>
      <c r="Q126" s="290"/>
      <c r="S126" s="483"/>
      <c r="T126" s="483"/>
      <c r="U126" s="483"/>
      <c r="V126" s="483"/>
      <c r="W126" s="483"/>
      <c r="X126" s="483"/>
      <c r="Y126" s="483"/>
      <c r="Z126" s="483"/>
      <c r="AA126" s="483"/>
      <c r="AB126" s="483"/>
      <c r="AC126" s="483"/>
    </row>
    <row r="127" spans="1:29" ht="12.75" customHeight="1">
      <c r="A127" s="557"/>
      <c r="B127" s="557"/>
      <c r="C127" s="557"/>
      <c r="D127" s="557"/>
      <c r="E127" s="557"/>
      <c r="F127" s="557"/>
      <c r="G127" s="99"/>
      <c r="H127" s="99"/>
      <c r="I127" s="99"/>
      <c r="J127" s="99"/>
      <c r="K127" s="100"/>
      <c r="L127" s="99"/>
      <c r="M127" s="99"/>
      <c r="N127" s="99"/>
      <c r="O127" s="99"/>
      <c r="P127" s="99"/>
      <c r="Q127" s="99"/>
      <c r="S127" s="483"/>
      <c r="T127" s="483"/>
      <c r="U127" s="483"/>
      <c r="V127" s="483"/>
      <c r="W127" s="483"/>
      <c r="X127" s="483"/>
      <c r="Y127" s="483"/>
      <c r="Z127" s="483"/>
      <c r="AA127" s="483"/>
      <c r="AB127" s="483"/>
      <c r="AC127" s="483"/>
    </row>
    <row r="128" spans="1:29" ht="12.75" customHeight="1">
      <c r="A128" s="557"/>
      <c r="B128" s="557"/>
      <c r="C128" s="557"/>
      <c r="D128" s="557"/>
      <c r="E128" s="557"/>
      <c r="F128" s="557"/>
      <c r="G128" s="99"/>
      <c r="H128" s="99"/>
      <c r="I128" s="99"/>
      <c r="J128" s="99"/>
      <c r="K128" s="100"/>
      <c r="L128" s="99"/>
      <c r="M128" s="99"/>
      <c r="N128" s="99"/>
      <c r="O128" s="99"/>
      <c r="P128" s="99"/>
      <c r="Q128" s="99"/>
      <c r="S128" s="483"/>
      <c r="T128" s="483"/>
      <c r="U128" s="483"/>
      <c r="V128" s="483"/>
      <c r="W128" s="483"/>
      <c r="X128" s="483"/>
      <c r="Y128" s="483"/>
      <c r="Z128" s="483"/>
      <c r="AA128" s="483"/>
      <c r="AB128" s="483"/>
      <c r="AC128" s="483"/>
    </row>
    <row r="129" spans="1:29" ht="21.25" customHeight="1" thickBot="1">
      <c r="A129" s="264" t="s">
        <v>544</v>
      </c>
      <c r="G129" s="97"/>
      <c r="H129" s="97"/>
      <c r="I129" s="97"/>
      <c r="J129" s="97"/>
      <c r="K129" s="97"/>
      <c r="L129" s="97"/>
      <c r="M129" s="97"/>
      <c r="N129" s="97"/>
      <c r="O129" s="97"/>
      <c r="P129" s="97"/>
      <c r="Q129" s="97"/>
      <c r="S129" s="483"/>
      <c r="T129" s="483"/>
      <c r="U129" s="483"/>
      <c r="V129" s="483"/>
      <c r="W129" s="483"/>
      <c r="X129" s="483"/>
      <c r="Y129" s="483"/>
      <c r="Z129" s="483"/>
      <c r="AA129" s="483"/>
      <c r="AB129" s="483"/>
      <c r="AC129" s="483"/>
    </row>
    <row r="130" spans="1:29" ht="26.5" customHeight="1">
      <c r="A130" s="1569" t="s">
        <v>10</v>
      </c>
      <c r="B130" s="1570"/>
      <c r="C130" s="1570"/>
      <c r="D130" s="1570"/>
      <c r="E130" s="1570"/>
      <c r="F130" s="1571"/>
      <c r="G130" s="619" t="str">
        <f>+C132</f>
        <v>Outstanding Network Credits</v>
      </c>
      <c r="H130" s="1572" t="s">
        <v>482</v>
      </c>
      <c r="I130" s="1573"/>
      <c r="J130" s="1573"/>
      <c r="K130" s="1573"/>
      <c r="L130" s="1573"/>
      <c r="M130" s="1573"/>
      <c r="N130" s="1573"/>
      <c r="O130" s="1573"/>
      <c r="P130" s="1573"/>
      <c r="Q130" s="1628"/>
      <c r="S130" s="483"/>
      <c r="T130" s="483"/>
      <c r="U130" s="483"/>
      <c r="V130" s="483"/>
      <c r="W130" s="483"/>
      <c r="X130" s="483"/>
      <c r="Y130" s="483"/>
      <c r="Z130" s="483"/>
      <c r="AA130" s="483"/>
      <c r="AB130" s="483"/>
      <c r="AC130" s="483"/>
    </row>
    <row r="131" spans="1:29" ht="15.75" customHeight="1">
      <c r="A131" s="222"/>
      <c r="B131" s="157" t="s">
        <v>431</v>
      </c>
      <c r="C131" s="223"/>
      <c r="D131" s="164"/>
      <c r="E131" s="224"/>
      <c r="F131" s="191"/>
      <c r="G131" s="99"/>
      <c r="H131" s="99"/>
      <c r="I131" s="99"/>
      <c r="J131" s="99"/>
      <c r="K131" s="99"/>
      <c r="L131" s="99"/>
      <c r="M131" s="99"/>
      <c r="N131" s="99"/>
      <c r="O131" s="99"/>
      <c r="P131" s="99"/>
      <c r="Q131" s="282"/>
      <c r="S131" s="483"/>
      <c r="T131" s="483"/>
      <c r="U131" s="483"/>
      <c r="V131" s="483"/>
      <c r="W131" s="483"/>
      <c r="X131" s="483"/>
      <c r="Y131" s="483"/>
      <c r="Z131" s="483"/>
      <c r="AA131" s="483"/>
      <c r="AB131" s="483"/>
      <c r="AC131" s="483"/>
    </row>
    <row r="132" spans="1:29" ht="12.75" customHeight="1">
      <c r="A132" s="440">
        <v>55</v>
      </c>
      <c r="B132" s="441"/>
      <c r="C132" s="442" t="str">
        <f>+'ATT H-2A'!C115</f>
        <v>Outstanding Network Credits</v>
      </c>
      <c r="D132" s="441"/>
      <c r="E132" s="441" t="str">
        <f>+'ATT H-2A'!E115</f>
        <v>(Note N)</v>
      </c>
      <c r="F132" s="444" t="str">
        <f>+'ATT H-2A'!F115</f>
        <v>From PJM</v>
      </c>
      <c r="G132" s="312">
        <v>0</v>
      </c>
      <c r="H132" s="1565" t="s">
        <v>480</v>
      </c>
      <c r="I132" s="1566"/>
      <c r="J132" s="1566"/>
      <c r="K132" s="1566"/>
      <c r="L132" s="1566"/>
      <c r="M132" s="1566"/>
      <c r="N132" s="1566"/>
      <c r="O132" s="1566"/>
      <c r="P132" s="1566"/>
      <c r="Q132" s="1603"/>
      <c r="S132" s="483"/>
      <c r="T132" s="483"/>
      <c r="U132" s="483"/>
      <c r="V132" s="483"/>
      <c r="W132" s="483"/>
      <c r="X132" s="483"/>
      <c r="Y132" s="483"/>
      <c r="Z132" s="483"/>
      <c r="AA132" s="483"/>
      <c r="AB132" s="483"/>
      <c r="AC132" s="483"/>
    </row>
    <row r="133" spans="1:29" ht="12.75" customHeight="1">
      <c r="A133" s="440"/>
      <c r="B133" s="441"/>
      <c r="C133" s="442"/>
      <c r="D133" s="441"/>
      <c r="E133" s="443"/>
      <c r="F133" s="444"/>
      <c r="G133" s="99"/>
      <c r="H133" s="99"/>
      <c r="I133" s="99"/>
      <c r="J133" s="99"/>
      <c r="K133" s="99"/>
      <c r="L133" s="99"/>
      <c r="M133" s="99"/>
      <c r="N133" s="99"/>
      <c r="O133" s="134"/>
      <c r="P133" s="99"/>
      <c r="Q133" s="282"/>
      <c r="S133" s="483"/>
      <c r="T133" s="483"/>
      <c r="U133" s="483"/>
      <c r="V133" s="483"/>
      <c r="W133" s="483"/>
      <c r="X133" s="483"/>
      <c r="Y133" s="483"/>
      <c r="Z133" s="483"/>
      <c r="AA133" s="483"/>
      <c r="AB133" s="483"/>
      <c r="AC133" s="483"/>
    </row>
    <row r="134" spans="1:29" ht="12.75" customHeight="1">
      <c r="A134" s="440"/>
      <c r="B134" s="441"/>
      <c r="C134" s="442"/>
      <c r="D134" s="441"/>
      <c r="E134" s="443"/>
      <c r="F134" s="444"/>
      <c r="G134" s="134" t="s">
        <v>474</v>
      </c>
      <c r="H134" s="1565" t="s">
        <v>39</v>
      </c>
      <c r="I134" s="1566"/>
      <c r="J134" s="1566"/>
      <c r="K134" s="1566"/>
      <c r="L134" s="1566"/>
      <c r="M134" s="1566"/>
      <c r="N134" s="1566"/>
      <c r="O134" s="1566"/>
      <c r="P134" s="1566"/>
      <c r="Q134" s="1603"/>
      <c r="S134" s="483"/>
      <c r="T134" s="483"/>
      <c r="U134" s="483"/>
      <c r="V134" s="483"/>
      <c r="W134" s="483"/>
      <c r="X134" s="483"/>
      <c r="Y134" s="483"/>
      <c r="Z134" s="483"/>
      <c r="AA134" s="483"/>
      <c r="AB134" s="483"/>
      <c r="AC134" s="483"/>
    </row>
    <row r="135" spans="1:29" ht="12.75" customHeight="1">
      <c r="A135" s="440"/>
      <c r="B135" s="441"/>
      <c r="C135" s="442"/>
      <c r="D135" s="441"/>
      <c r="E135" s="443"/>
      <c r="F135" s="444"/>
      <c r="G135" s="134"/>
      <c r="H135" s="1565"/>
      <c r="I135" s="1566"/>
      <c r="J135" s="1566"/>
      <c r="K135" s="1566"/>
      <c r="L135" s="1566"/>
      <c r="M135" s="1566"/>
      <c r="N135" s="1566"/>
      <c r="O135" s="1566"/>
      <c r="P135" s="1566"/>
      <c r="Q135" s="1603"/>
      <c r="S135" s="483"/>
      <c r="T135" s="483"/>
      <c r="U135" s="483"/>
      <c r="V135" s="483"/>
      <c r="W135" s="483"/>
      <c r="X135" s="483"/>
      <c r="Y135" s="483"/>
      <c r="Z135" s="483"/>
      <c r="AA135" s="483"/>
      <c r="AB135" s="483"/>
      <c r="AC135" s="483"/>
    </row>
    <row r="136" spans="1:29" ht="12.75" customHeight="1">
      <c r="A136" s="440"/>
      <c r="B136" s="441"/>
      <c r="C136" s="442"/>
      <c r="D136" s="441"/>
      <c r="E136" s="443"/>
      <c r="F136" s="444"/>
      <c r="G136" s="134"/>
      <c r="H136" s="1565"/>
      <c r="I136" s="1566"/>
      <c r="J136" s="1566"/>
      <c r="K136" s="1566"/>
      <c r="L136" s="1566"/>
      <c r="M136" s="1566"/>
      <c r="N136" s="1566"/>
      <c r="O136" s="1566"/>
      <c r="P136" s="1566"/>
      <c r="Q136" s="1603"/>
      <c r="S136" s="483"/>
      <c r="T136" s="483"/>
      <c r="U136" s="483"/>
      <c r="V136" s="483"/>
      <c r="W136" s="483"/>
      <c r="X136" s="483"/>
      <c r="Y136" s="483"/>
      <c r="Z136" s="483"/>
      <c r="AA136" s="483"/>
      <c r="AB136" s="483"/>
      <c r="AC136" s="483"/>
    </row>
    <row r="137" spans="1:29" ht="12.75" customHeight="1">
      <c r="A137" s="440">
        <v>56</v>
      </c>
      <c r="B137" s="441"/>
      <c r="C137" s="442" t="str">
        <f>+'ATT H-2A'!C116</f>
        <v xml:space="preserve">    Less Accumulated Depreciation Associated with Facilities with Outstanding Network Credits</v>
      </c>
      <c r="D137" s="441"/>
      <c r="E137" s="441" t="str">
        <f>+'ATT H-2A'!E116</f>
        <v>(Note N)</v>
      </c>
      <c r="F137" s="444" t="str">
        <f>+'ATT H-2A'!F116</f>
        <v>From PJM</v>
      </c>
      <c r="G137" s="134">
        <v>0</v>
      </c>
      <c r="H137" s="1565"/>
      <c r="I137" s="1566"/>
      <c r="J137" s="1566"/>
      <c r="K137" s="1566"/>
      <c r="L137" s="1566"/>
      <c r="M137" s="1566"/>
      <c r="N137" s="1566"/>
      <c r="O137" s="1566"/>
      <c r="P137" s="1566"/>
      <c r="Q137" s="1603"/>
      <c r="S137" s="483"/>
      <c r="T137" s="483"/>
      <c r="U137" s="483"/>
      <c r="V137" s="483"/>
      <c r="W137" s="483"/>
      <c r="X137" s="483"/>
      <c r="Y137" s="483"/>
      <c r="Z137" s="483"/>
      <c r="AA137" s="483"/>
      <c r="AB137" s="483"/>
      <c r="AC137" s="483"/>
    </row>
    <row r="138" spans="1:29" ht="15.75" customHeight="1">
      <c r="A138" s="201"/>
      <c r="B138" s="182"/>
      <c r="C138" s="182"/>
      <c r="D138" s="182"/>
      <c r="E138" s="230"/>
      <c r="F138" s="280"/>
      <c r="G138" s="134"/>
      <c r="H138" s="1565"/>
      <c r="I138" s="1566"/>
      <c r="J138" s="1566"/>
      <c r="K138" s="1566"/>
      <c r="L138" s="1566"/>
      <c r="M138" s="1566"/>
      <c r="N138" s="1566"/>
      <c r="O138" s="1566"/>
      <c r="P138" s="1566"/>
      <c r="Q138" s="1603"/>
      <c r="S138" s="483"/>
      <c r="T138" s="483"/>
      <c r="U138" s="483"/>
      <c r="V138" s="483"/>
      <c r="W138" s="483"/>
      <c r="X138" s="483"/>
      <c r="Y138" s="483"/>
      <c r="Z138" s="483"/>
      <c r="AA138" s="483"/>
      <c r="AB138" s="483"/>
      <c r="AC138" s="483"/>
    </row>
    <row r="139" spans="1:29" ht="15.75" customHeight="1">
      <c r="A139" s="201"/>
      <c r="B139" s="182"/>
      <c r="C139" s="182"/>
      <c r="D139" s="182"/>
      <c r="E139" s="230"/>
      <c r="F139" s="280"/>
      <c r="G139" s="134" t="s">
        <v>474</v>
      </c>
      <c r="H139" s="1565" t="s">
        <v>39</v>
      </c>
      <c r="I139" s="1566"/>
      <c r="J139" s="1566"/>
      <c r="K139" s="1566"/>
      <c r="L139" s="1566"/>
      <c r="M139" s="1566"/>
      <c r="N139" s="1566"/>
      <c r="O139" s="1566"/>
      <c r="P139" s="1566"/>
      <c r="Q139" s="1603"/>
      <c r="S139" s="483"/>
      <c r="T139" s="483"/>
      <c r="U139" s="483"/>
      <c r="V139" s="483"/>
      <c r="W139" s="483"/>
      <c r="X139" s="483"/>
      <c r="Y139" s="483"/>
      <c r="Z139" s="483"/>
      <c r="AA139" s="483"/>
      <c r="AB139" s="483"/>
      <c r="AC139" s="483"/>
    </row>
    <row r="140" spans="1:29" ht="15.75" customHeight="1">
      <c r="A140" s="201"/>
      <c r="B140" s="182"/>
      <c r="C140" s="182"/>
      <c r="D140" s="182"/>
      <c r="E140" s="230"/>
      <c r="F140" s="280"/>
      <c r="G140" s="134"/>
      <c r="H140" s="1565"/>
      <c r="I140" s="1566"/>
      <c r="J140" s="1566"/>
      <c r="K140" s="1566"/>
      <c r="L140" s="1566"/>
      <c r="M140" s="1566"/>
      <c r="N140" s="1566"/>
      <c r="O140" s="1566"/>
      <c r="P140" s="1566"/>
      <c r="Q140" s="1603"/>
      <c r="S140" s="483"/>
      <c r="T140" s="483"/>
      <c r="U140" s="483"/>
      <c r="V140" s="483"/>
      <c r="W140" s="483"/>
      <c r="X140" s="483"/>
      <c r="Y140" s="483"/>
      <c r="Z140" s="483"/>
      <c r="AA140" s="483"/>
      <c r="AB140" s="483"/>
      <c r="AC140" s="483"/>
    </row>
    <row r="141" spans="1:29" ht="16.5" customHeight="1" thickBot="1">
      <c r="A141" s="254"/>
      <c r="B141" s="259"/>
      <c r="C141" s="259"/>
      <c r="D141" s="259"/>
      <c r="E141" s="267"/>
      <c r="F141" s="281"/>
      <c r="G141" s="283"/>
      <c r="H141" s="283"/>
      <c r="I141" s="283"/>
      <c r="J141" s="283"/>
      <c r="K141" s="298" t="s">
        <v>477</v>
      </c>
      <c r="L141" s="283"/>
      <c r="M141" s="283"/>
      <c r="N141" s="283"/>
      <c r="O141" s="283"/>
      <c r="P141" s="283"/>
      <c r="Q141" s="290"/>
      <c r="S141" s="483"/>
      <c r="T141" s="483"/>
      <c r="U141" s="483"/>
      <c r="V141" s="483"/>
      <c r="W141" s="483"/>
      <c r="X141" s="483"/>
      <c r="Y141" s="483"/>
      <c r="Z141" s="483"/>
      <c r="AA141" s="483"/>
      <c r="AB141" s="483"/>
      <c r="AC141" s="483"/>
    </row>
    <row r="142" spans="1:29" ht="15.75" customHeight="1">
      <c r="A142" s="182"/>
      <c r="B142" s="182"/>
      <c r="C142" s="182"/>
      <c r="D142" s="182"/>
      <c r="E142" s="230"/>
      <c r="F142" s="182"/>
      <c r="G142" s="99"/>
      <c r="H142" s="99"/>
      <c r="I142" s="99"/>
      <c r="J142" s="99"/>
      <c r="K142" s="100"/>
      <c r="L142" s="99"/>
      <c r="M142" s="99"/>
      <c r="N142" s="99"/>
      <c r="O142" s="99"/>
      <c r="P142" s="99"/>
      <c r="Q142" s="99"/>
      <c r="S142" s="483"/>
      <c r="T142" s="483"/>
      <c r="U142" s="483"/>
      <c r="V142" s="483"/>
      <c r="W142" s="483"/>
      <c r="X142" s="483"/>
      <c r="Y142" s="483"/>
      <c r="Z142" s="483"/>
      <c r="AA142" s="483"/>
      <c r="AB142" s="483"/>
      <c r="AC142" s="483"/>
    </row>
    <row r="143" spans="1:29" ht="15.75" customHeight="1">
      <c r="A143" s="182"/>
      <c r="B143" s="182"/>
      <c r="C143" s="182"/>
      <c r="D143" s="182"/>
      <c r="E143" s="230"/>
      <c r="F143" s="182"/>
      <c r="G143" s="99"/>
      <c r="H143" s="99"/>
      <c r="I143" s="99"/>
      <c r="J143" s="99"/>
      <c r="K143" s="100"/>
      <c r="L143" s="99"/>
      <c r="M143" s="99"/>
      <c r="N143" s="99"/>
      <c r="O143" s="99"/>
      <c r="P143" s="99"/>
      <c r="Q143" s="99"/>
      <c r="S143" s="483"/>
      <c r="T143" s="483"/>
      <c r="U143" s="483"/>
      <c r="V143" s="483"/>
      <c r="W143" s="483"/>
      <c r="X143" s="483"/>
      <c r="Y143" s="483"/>
      <c r="Z143" s="483"/>
      <c r="AA143" s="483"/>
      <c r="AB143" s="483"/>
      <c r="AC143" s="483"/>
    </row>
    <row r="144" spans="1:29" ht="21.25" customHeight="1" thickBot="1">
      <c r="A144" s="264" t="s">
        <v>558</v>
      </c>
      <c r="G144" s="97"/>
      <c r="H144" s="97"/>
      <c r="I144" s="97"/>
      <c r="J144" s="97"/>
      <c r="K144" s="97"/>
      <c r="L144" s="97"/>
      <c r="M144" s="97"/>
      <c r="N144" s="97"/>
      <c r="O144" s="97"/>
      <c r="P144" s="97"/>
      <c r="Q144" s="97"/>
      <c r="S144" s="483"/>
      <c r="T144" s="483"/>
      <c r="U144" s="483"/>
      <c r="V144" s="483"/>
      <c r="W144" s="483"/>
      <c r="X144" s="483"/>
      <c r="Y144" s="483"/>
      <c r="Z144" s="483"/>
      <c r="AA144" s="483"/>
      <c r="AB144" s="483"/>
      <c r="AC144" s="483"/>
    </row>
    <row r="145" spans="1:29" ht="26.5" customHeight="1">
      <c r="A145" s="1569" t="s">
        <v>10</v>
      </c>
      <c r="B145" s="1570"/>
      <c r="C145" s="1570"/>
      <c r="D145" s="1570"/>
      <c r="E145" s="1570"/>
      <c r="F145" s="1571"/>
      <c r="G145" s="619" t="s">
        <v>292</v>
      </c>
      <c r="H145" s="619" t="s">
        <v>559</v>
      </c>
      <c r="I145" s="619" t="s">
        <v>461</v>
      </c>
      <c r="J145" s="1572" t="s">
        <v>389</v>
      </c>
      <c r="K145" s="1574"/>
      <c r="L145" s="1574"/>
      <c r="M145" s="1574"/>
      <c r="N145" s="1574"/>
      <c r="O145" s="1574"/>
      <c r="P145" s="1574"/>
      <c r="Q145" s="1606"/>
      <c r="S145" s="483"/>
      <c r="T145" s="483"/>
      <c r="U145" s="483"/>
      <c r="V145" s="483"/>
      <c r="W145" s="483"/>
      <c r="X145" s="483"/>
      <c r="Y145" s="483"/>
      <c r="Z145" s="483"/>
      <c r="AA145" s="483"/>
      <c r="AB145" s="483"/>
      <c r="AC145" s="483"/>
    </row>
    <row r="146" spans="1:29" ht="15.75" customHeight="1">
      <c r="A146" s="201">
        <f>+'ATT H-2A'!A93</f>
        <v>44</v>
      </c>
      <c r="B146" s="184" t="s">
        <v>19</v>
      </c>
      <c r="C146" s="138"/>
      <c r="D146" s="148"/>
      <c r="E146" s="156"/>
      <c r="F146" s="198"/>
      <c r="G146" s="432" t="s">
        <v>474</v>
      </c>
      <c r="H146" s="433"/>
      <c r="I146" s="433" t="s">
        <v>378</v>
      </c>
      <c r="J146" s="99"/>
      <c r="K146" s="99"/>
      <c r="L146" s="99"/>
      <c r="M146" s="99"/>
      <c r="N146" s="99"/>
      <c r="O146" s="99"/>
      <c r="P146" s="99"/>
      <c r="Q146" s="282"/>
      <c r="S146" s="483"/>
      <c r="T146" s="483"/>
      <c r="U146" s="483"/>
      <c r="V146" s="483"/>
      <c r="W146" s="483"/>
      <c r="X146" s="483"/>
      <c r="Y146" s="483"/>
      <c r="Z146" s="483"/>
      <c r="AA146" s="483"/>
      <c r="AB146" s="483"/>
      <c r="AC146" s="483"/>
    </row>
    <row r="147" spans="1:29" ht="15.75" customHeight="1">
      <c r="A147" s="201"/>
      <c r="B147" s="184"/>
      <c r="C147" s="138" t="s">
        <v>560</v>
      </c>
      <c r="D147" s="148"/>
      <c r="E147" s="156"/>
      <c r="F147" s="198"/>
      <c r="G147" s="454">
        <v>0</v>
      </c>
      <c r="H147" s="451">
        <v>1</v>
      </c>
      <c r="I147" s="433">
        <f>+G147*H147</f>
        <v>0</v>
      </c>
      <c r="J147" s="99"/>
      <c r="K147" s="99"/>
      <c r="L147" s="99"/>
      <c r="M147" s="99"/>
      <c r="N147" s="99"/>
      <c r="O147" s="99"/>
      <c r="P147" s="99"/>
      <c r="Q147" s="282"/>
      <c r="S147" s="483"/>
      <c r="T147" s="483"/>
      <c r="U147" s="483"/>
      <c r="V147" s="483"/>
      <c r="W147" s="483"/>
      <c r="X147" s="483"/>
      <c r="Y147" s="483"/>
      <c r="Z147" s="483"/>
      <c r="AA147" s="483"/>
      <c r="AB147" s="483"/>
      <c r="AC147" s="483"/>
    </row>
    <row r="148" spans="1:29" ht="15.75" customHeight="1">
      <c r="A148" s="201"/>
      <c r="B148" s="184"/>
      <c r="C148" s="138" t="s">
        <v>561</v>
      </c>
      <c r="D148" s="148"/>
      <c r="E148" s="156"/>
      <c r="F148" s="198"/>
      <c r="G148" s="454">
        <v>0</v>
      </c>
      <c r="H148" s="452">
        <f>+'ATT H-2A'!H20</f>
        <v>0.13143233299925774</v>
      </c>
      <c r="I148" s="433">
        <f>+G148*H148</f>
        <v>0</v>
      </c>
      <c r="J148" s="99"/>
      <c r="K148" s="99"/>
      <c r="L148" s="99"/>
      <c r="M148" s="99"/>
      <c r="N148" s="99"/>
      <c r="O148" s="99"/>
      <c r="P148" s="99"/>
      <c r="Q148" s="282"/>
      <c r="S148" s="483"/>
      <c r="T148" s="483"/>
      <c r="U148" s="483"/>
      <c r="V148" s="483"/>
      <c r="W148" s="483"/>
      <c r="X148" s="483"/>
      <c r="Y148" s="483"/>
      <c r="Z148" s="483"/>
      <c r="AA148" s="483"/>
      <c r="AB148" s="483"/>
      <c r="AC148" s="483"/>
    </row>
    <row r="149" spans="1:29" ht="15.75" customHeight="1">
      <c r="A149" s="201"/>
      <c r="B149" s="184"/>
      <c r="C149" s="138" t="s">
        <v>367</v>
      </c>
      <c r="D149" s="148"/>
      <c r="E149" s="156"/>
      <c r="F149" s="198"/>
      <c r="G149" s="454">
        <v>0</v>
      </c>
      <c r="H149" s="452">
        <f>+'ATT H-2A'!H36</f>
        <v>0.2381948594457306</v>
      </c>
      <c r="I149" s="433">
        <f>+G149*H149</f>
        <v>0</v>
      </c>
      <c r="J149" s="99"/>
      <c r="K149" s="99"/>
      <c r="L149" s="99"/>
      <c r="M149" s="99"/>
      <c r="N149" s="99"/>
      <c r="O149" s="99"/>
      <c r="P149" s="99"/>
      <c r="Q149" s="282"/>
      <c r="S149" s="483"/>
      <c r="T149" s="483"/>
      <c r="U149" s="483"/>
      <c r="V149" s="483"/>
      <c r="W149" s="483"/>
      <c r="X149" s="483"/>
      <c r="Y149" s="483"/>
      <c r="Z149" s="483"/>
      <c r="AA149" s="483"/>
      <c r="AB149" s="483"/>
      <c r="AC149" s="483"/>
    </row>
    <row r="150" spans="1:29" ht="15.75" customHeight="1" thickBot="1">
      <c r="A150" s="201"/>
      <c r="B150" s="184"/>
      <c r="C150" s="138" t="s">
        <v>473</v>
      </c>
      <c r="D150" s="148"/>
      <c r="E150" s="156"/>
      <c r="F150" s="198"/>
      <c r="G150" s="455">
        <v>0</v>
      </c>
      <c r="H150" s="452">
        <v>0</v>
      </c>
      <c r="I150" s="433">
        <f>+G150*H150</f>
        <v>0</v>
      </c>
      <c r="J150" s="99"/>
      <c r="K150" s="99"/>
      <c r="L150" s="99"/>
      <c r="M150" s="99"/>
      <c r="N150" s="99"/>
      <c r="O150" s="99"/>
      <c r="P150" s="99"/>
      <c r="Q150" s="282"/>
      <c r="S150" s="483"/>
      <c r="T150" s="483"/>
      <c r="U150" s="483"/>
      <c r="V150" s="483"/>
      <c r="W150" s="483"/>
      <c r="X150" s="483"/>
      <c r="Y150" s="483"/>
      <c r="Z150" s="483"/>
      <c r="AA150" s="483"/>
      <c r="AB150" s="483"/>
      <c r="AC150" s="483"/>
    </row>
    <row r="151" spans="1:29" ht="16.5" customHeight="1" thickBot="1">
      <c r="A151" s="729"/>
      <c r="B151" s="265"/>
      <c r="C151" s="434" t="s">
        <v>1495</v>
      </c>
      <c r="D151" s="279"/>
      <c r="E151" s="435"/>
      <c r="F151" s="436"/>
      <c r="G151" s="453">
        <f>SUM(G147:G150)</f>
        <v>0</v>
      </c>
      <c r="H151" s="437"/>
      <c r="I151" s="438">
        <f>SUM(I147:I150)</f>
        <v>0</v>
      </c>
      <c r="J151" s="1629"/>
      <c r="K151" s="1568"/>
      <c r="L151" s="1568"/>
      <c r="M151" s="1568"/>
      <c r="N151" s="1568"/>
      <c r="O151" s="1568"/>
      <c r="P151" s="1568"/>
      <c r="Q151" s="1607"/>
      <c r="S151" s="483"/>
      <c r="T151" s="483"/>
      <c r="U151" s="483"/>
      <c r="V151" s="483"/>
      <c r="W151" s="483"/>
      <c r="X151" s="483"/>
      <c r="Y151" s="483"/>
      <c r="Z151" s="483"/>
      <c r="AA151" s="483"/>
      <c r="AB151" s="483"/>
      <c r="AC151" s="483"/>
    </row>
    <row r="152" spans="1:29" ht="15.75" customHeight="1">
      <c r="A152" s="182"/>
      <c r="B152" s="182"/>
      <c r="C152" s="182"/>
      <c r="D152" s="182"/>
      <c r="E152" s="230"/>
      <c r="F152" s="182"/>
      <c r="G152" s="99"/>
      <c r="H152" s="99"/>
      <c r="I152" s="99"/>
      <c r="J152" s="99"/>
      <c r="K152" s="100"/>
      <c r="L152" s="99"/>
      <c r="M152" s="99"/>
      <c r="N152" s="99"/>
      <c r="O152" s="99"/>
      <c r="P152" s="99"/>
      <c r="Q152" s="99"/>
      <c r="S152" s="483"/>
      <c r="T152" s="483"/>
      <c r="U152" s="483"/>
      <c r="V152" s="483"/>
      <c r="W152" s="483"/>
      <c r="X152" s="483"/>
      <c r="Y152" s="483"/>
      <c r="Z152" s="483"/>
      <c r="AA152" s="483"/>
      <c r="AB152" s="483"/>
      <c r="AC152" s="483"/>
    </row>
    <row r="153" spans="1:29" ht="15.75" customHeight="1">
      <c r="A153" s="182"/>
      <c r="B153" s="182"/>
      <c r="C153" s="182"/>
      <c r="D153" s="182"/>
      <c r="E153" s="230"/>
      <c r="F153" s="182"/>
      <c r="G153" s="99"/>
      <c r="H153" s="99"/>
      <c r="I153" s="99"/>
      <c r="J153" s="99"/>
      <c r="K153" s="100"/>
      <c r="L153" s="99"/>
      <c r="M153" s="99"/>
      <c r="N153" s="99"/>
      <c r="O153" s="99"/>
      <c r="P153" s="99"/>
      <c r="Q153" s="99"/>
      <c r="S153" s="483"/>
      <c r="T153" s="483"/>
      <c r="U153" s="483"/>
      <c r="V153" s="483"/>
      <c r="W153" s="483"/>
      <c r="X153" s="483"/>
      <c r="Y153" s="483"/>
      <c r="Z153" s="483"/>
      <c r="AA153" s="483"/>
      <c r="AB153" s="483"/>
      <c r="AC153" s="483"/>
    </row>
    <row r="154" spans="1:29" ht="21.25" customHeight="1" thickBot="1">
      <c r="A154" s="264" t="s">
        <v>196</v>
      </c>
      <c r="G154" s="97"/>
      <c r="H154" s="97"/>
      <c r="I154" s="97"/>
      <c r="J154" s="97"/>
      <c r="K154" s="97"/>
      <c r="L154" s="97"/>
      <c r="M154" s="97"/>
      <c r="N154" s="97"/>
      <c r="O154" s="97"/>
      <c r="P154" s="97"/>
      <c r="Q154" s="97"/>
      <c r="S154" s="483"/>
      <c r="T154" s="483"/>
      <c r="U154" s="483"/>
      <c r="V154" s="483"/>
      <c r="W154" s="483"/>
      <c r="X154" s="483"/>
      <c r="Y154" s="483"/>
      <c r="Z154" s="483"/>
      <c r="AA154" s="483"/>
      <c r="AB154" s="483"/>
      <c r="AC154" s="483"/>
    </row>
    <row r="155" spans="1:29" ht="39.25" customHeight="1">
      <c r="A155" s="1630" t="s">
        <v>10</v>
      </c>
      <c r="B155" s="1631"/>
      <c r="C155" s="1631"/>
      <c r="D155" s="1631"/>
      <c r="E155" s="1631"/>
      <c r="F155" s="1632"/>
      <c r="G155" s="1162"/>
      <c r="H155" s="1163"/>
      <c r="I155" s="1164"/>
      <c r="J155" s="1164"/>
      <c r="K155" s="1164"/>
      <c r="L155" s="1164"/>
      <c r="M155" s="1164"/>
      <c r="N155" s="1164"/>
      <c r="O155" s="1164"/>
      <c r="P155" s="1164"/>
      <c r="Q155" s="1164"/>
      <c r="R155" s="1165"/>
      <c r="S155" s="1165"/>
      <c r="T155" s="1165"/>
      <c r="U155" s="1166"/>
      <c r="V155" s="1167" t="s">
        <v>123</v>
      </c>
      <c r="W155" s="1165"/>
      <c r="X155" s="1165"/>
      <c r="Y155" s="1166"/>
      <c r="Z155" s="483"/>
      <c r="AA155" s="483"/>
      <c r="AB155" s="483"/>
      <c r="AC155" s="483"/>
    </row>
    <row r="156" spans="1:29" ht="15.75" customHeight="1">
      <c r="A156" s="222">
        <v>45</v>
      </c>
      <c r="B156" s="1168" t="s">
        <v>196</v>
      </c>
      <c r="C156" s="733"/>
      <c r="D156" s="1168"/>
      <c r="E156" s="1169"/>
      <c r="F156" s="1170"/>
      <c r="G156" s="284"/>
      <c r="H156" s="915"/>
      <c r="I156" s="97"/>
      <c r="J156" s="97"/>
      <c r="K156" s="97"/>
      <c r="L156" s="97"/>
      <c r="M156" s="97"/>
      <c r="N156" s="97"/>
      <c r="O156" s="97"/>
      <c r="P156" s="97"/>
      <c r="Q156" s="97"/>
      <c r="R156"/>
      <c r="S156"/>
      <c r="T156"/>
      <c r="U156" s="117"/>
      <c r="V156" s="115"/>
      <c r="W156" s="116"/>
      <c r="X156" s="116"/>
      <c r="Y156" s="117"/>
      <c r="Z156" s="483"/>
      <c r="AA156" s="483"/>
      <c r="AB156" s="483"/>
      <c r="AC156" s="483"/>
    </row>
    <row r="157" spans="1:29" ht="15.75" customHeight="1">
      <c r="A157" s="194"/>
      <c r="B157" s="357"/>
      <c r="C157"/>
      <c r="D157" s="1168"/>
      <c r="E157"/>
      <c r="F157" s="1171"/>
      <c r="G157" s="1172" t="s">
        <v>1171</v>
      </c>
      <c r="H157" s="1114" t="s">
        <v>1028</v>
      </c>
      <c r="I157" s="1114" t="s">
        <v>1029</v>
      </c>
      <c r="J157" s="1114" t="s">
        <v>1170</v>
      </c>
      <c r="K157" s="1114" t="s">
        <v>502</v>
      </c>
      <c r="L157" s="1114" t="s">
        <v>503</v>
      </c>
      <c r="M157" s="1114" t="s">
        <v>504</v>
      </c>
      <c r="N157" s="1114" t="s">
        <v>1031</v>
      </c>
      <c r="O157" s="1114" t="s">
        <v>1169</v>
      </c>
      <c r="P157" s="1114" t="s">
        <v>1033</v>
      </c>
      <c r="Q157" s="1114" t="s">
        <v>1034</v>
      </c>
      <c r="R157" s="1114" t="s">
        <v>1035</v>
      </c>
      <c r="S157" s="1173" t="s">
        <v>1278</v>
      </c>
      <c r="T157" s="1173" t="s">
        <v>312</v>
      </c>
      <c r="U157" s="1173" t="s">
        <v>1279</v>
      </c>
      <c r="V157" s="115"/>
      <c r="W157" s="116"/>
      <c r="X157" s="116"/>
      <c r="Y157" s="117"/>
      <c r="Z157" s="483"/>
      <c r="AA157" s="483"/>
      <c r="AB157" s="483"/>
      <c r="AC157" s="483"/>
    </row>
    <row r="158" spans="1:29" ht="26.5" customHeight="1">
      <c r="A158" s="194"/>
      <c r="B158" s="357"/>
      <c r="C158" s="473" t="s">
        <v>79</v>
      </c>
      <c r="D158"/>
      <c r="E158"/>
      <c r="F158" s="1174" t="s">
        <v>1280</v>
      </c>
      <c r="G158" s="1175">
        <v>36343784.200800009</v>
      </c>
      <c r="H158" s="1038">
        <v>26062725.258400001</v>
      </c>
      <c r="I158" s="1038">
        <v>15184358.465570001</v>
      </c>
      <c r="J158" s="1038">
        <v>21944867.443750001</v>
      </c>
      <c r="K158" s="1038">
        <v>9181838.1678900011</v>
      </c>
      <c r="L158" s="1038">
        <v>-3666067.0718699996</v>
      </c>
      <c r="M158" s="1038">
        <v>2785423.2799300002</v>
      </c>
      <c r="N158" s="1038">
        <v>2662198.89475</v>
      </c>
      <c r="O158" s="1038">
        <v>2171666.4196800003</v>
      </c>
      <c r="P158" s="1038">
        <v>1498420.4253000002</v>
      </c>
      <c r="Q158" s="1038">
        <v>1819922.2212899998</v>
      </c>
      <c r="R158" s="1038">
        <v>1515026.5921499999</v>
      </c>
      <c r="S158" s="1038">
        <v>38024997.741400003</v>
      </c>
      <c r="T158" s="1176">
        <f>+'ATT H-2A'!H39</f>
        <v>0.27803363792827679</v>
      </c>
      <c r="U158" s="1177" t="s">
        <v>278</v>
      </c>
      <c r="V158" s="1178" t="s">
        <v>1281</v>
      </c>
      <c r="W158" s="116"/>
      <c r="X158" s="116"/>
      <c r="Y158" s="117"/>
      <c r="Z158" s="483"/>
      <c r="AA158" s="483"/>
      <c r="AB158" s="483"/>
      <c r="AC158" s="483"/>
    </row>
    <row r="159" spans="1:29" ht="15.5">
      <c r="A159" s="194"/>
      <c r="B159" s="357"/>
      <c r="C159" s="473" t="s">
        <v>1282</v>
      </c>
      <c r="D159" s="1179"/>
      <c r="E159"/>
      <c r="F159" s="1174"/>
      <c r="G159" s="1175">
        <v>187640662.53040001</v>
      </c>
      <c r="H159" s="1180">
        <v>185609580.11160001</v>
      </c>
      <c r="I159" s="1180">
        <v>215286247.57213002</v>
      </c>
      <c r="J159" s="1180">
        <v>213566757.49127001</v>
      </c>
      <c r="K159" s="1180">
        <v>211606533.16997004</v>
      </c>
      <c r="L159" s="1180">
        <v>209806798.34004</v>
      </c>
      <c r="M159" s="1180">
        <v>208007063.51011002</v>
      </c>
      <c r="N159" s="1180">
        <v>206207328.68017998</v>
      </c>
      <c r="O159" s="1180">
        <v>204407593.85025001</v>
      </c>
      <c r="P159" s="1180">
        <v>202607859.02032003</v>
      </c>
      <c r="Q159" s="1180">
        <v>200808124.19039002</v>
      </c>
      <c r="R159" s="1180">
        <v>199008389.36046001</v>
      </c>
      <c r="S159" s="1180">
        <v>197208654.53053001</v>
      </c>
      <c r="T159" s="1176">
        <f>+'ATT H-2A'!H20</f>
        <v>0.13143233299925774</v>
      </c>
      <c r="U159" s="1177" t="s">
        <v>362</v>
      </c>
      <c r="V159" s="1181" t="s">
        <v>1283</v>
      </c>
      <c r="W159" s="116"/>
      <c r="X159" s="116"/>
      <c r="Y159" s="117"/>
      <c r="Z159" s="483"/>
      <c r="AA159" s="483"/>
      <c r="AB159" s="483"/>
      <c r="AC159" s="483"/>
    </row>
    <row r="160" spans="1:29" ht="15.75" customHeight="1" thickBot="1">
      <c r="A160" s="1182"/>
      <c r="B160" s="471"/>
      <c r="C160" s="726" t="s">
        <v>1284</v>
      </c>
      <c r="D160" s="471"/>
      <c r="E160" s="257"/>
      <c r="F160" s="471"/>
      <c r="G160" s="1183">
        <f>G158*$T$158+G159*$T$159</f>
        <v>34766844.579325534</v>
      </c>
      <c r="H160" s="1184">
        <f t="shared" ref="H160:R160" si="1">H158*$T$158+H159*$T$159</f>
        <v>31641414.45899836</v>
      </c>
      <c r="I160" s="1184">
        <f t="shared" si="1"/>
        <v>32517336.20485029</v>
      </c>
      <c r="J160" s="1184">
        <f t="shared" si="1"/>
        <v>34170988.517403938</v>
      </c>
      <c r="K160" s="1184">
        <f t="shared" si="1"/>
        <v>30364800.201101143</v>
      </c>
      <c r="L160" s="1184">
        <f t="shared" si="1"/>
        <v>26556107.020055175</v>
      </c>
      <c r="M160" s="1184">
        <f t="shared" si="1"/>
        <v>28113295.005147584</v>
      </c>
      <c r="N160" s="1184">
        <f t="shared" si="1"/>
        <v>27842491.133576788</v>
      </c>
      <c r="O160" s="1184">
        <f t="shared" si="1"/>
        <v>27469563.257533394</v>
      </c>
      <c r="P160" s="1184">
        <f t="shared" si="1"/>
        <v>27045834.877017561</v>
      </c>
      <c r="Q160" s="1184">
        <f t="shared" si="1"/>
        <v>26898679.843479414</v>
      </c>
      <c r="R160" s="1184">
        <f t="shared" si="1"/>
        <v>26577365.255043466</v>
      </c>
      <c r="S160" s="1184">
        <f>S158*$T$158+S159*$T$159</f>
        <v>36491822.006848149</v>
      </c>
      <c r="T160" s="1185"/>
      <c r="U160" s="120"/>
      <c r="V160" s="1186" t="s">
        <v>1285</v>
      </c>
      <c r="W160" s="119"/>
      <c r="X160" s="119"/>
      <c r="Y160" s="120"/>
      <c r="Z160" s="483"/>
      <c r="AA160" s="483"/>
      <c r="AB160" s="483"/>
      <c r="AC160" s="483"/>
    </row>
    <row r="161" spans="1:29" ht="15.75" customHeight="1">
      <c r="A161" s="201"/>
      <c r="B161" s="182"/>
      <c r="C161" s="477"/>
      <c r="D161" s="456"/>
      <c r="E161" s="439"/>
      <c r="F161" s="1187"/>
      <c r="G161" s="134"/>
      <c r="H161" s="933"/>
      <c r="I161" s="932"/>
      <c r="J161" s="417"/>
      <c r="K161" s="932"/>
      <c r="L161" s="932"/>
      <c r="M161" s="932"/>
      <c r="N161" s="932"/>
      <c r="O161" s="932"/>
      <c r="P161" s="932"/>
      <c r="Q161" s="483"/>
      <c r="R161" s="483"/>
      <c r="S161" s="483"/>
      <c r="T161" s="483"/>
      <c r="U161" s="483"/>
      <c r="V161" s="483"/>
      <c r="W161" s="483"/>
      <c r="X161" s="483"/>
      <c r="Y161" s="483"/>
      <c r="Z161" s="483"/>
      <c r="AA161" s="483"/>
      <c r="AB161" s="483"/>
      <c r="AC161" s="483"/>
    </row>
    <row r="162" spans="1:29" ht="15.5">
      <c r="A162" s="182"/>
      <c r="B162" s="182"/>
      <c r="C162" s="477"/>
      <c r="D162" s="456"/>
      <c r="E162" s="439"/>
      <c r="F162" s="439"/>
      <c r="G162" s="134"/>
      <c r="H162" s="933"/>
      <c r="I162" s="932"/>
      <c r="J162" s="417"/>
      <c r="K162" s="932"/>
      <c r="L162" s="932"/>
      <c r="M162" s="932"/>
      <c r="N162" s="932"/>
      <c r="O162" s="932"/>
      <c r="P162" s="932"/>
      <c r="Q162" s="932"/>
      <c r="R162" s="557"/>
      <c r="S162" s="1473"/>
      <c r="T162" s="483"/>
      <c r="U162" s="483"/>
      <c r="V162" s="483"/>
      <c r="W162" s="483"/>
      <c r="X162" s="483"/>
      <c r="Y162" s="483"/>
      <c r="Z162" s="483"/>
      <c r="AA162" s="483"/>
      <c r="AB162" s="483"/>
      <c r="AC162" s="483"/>
    </row>
    <row r="163" spans="1:29" ht="20.5" thickBot="1">
      <c r="A163" s="457" t="s">
        <v>208</v>
      </c>
      <c r="B163" s="182"/>
      <c r="C163" s="182"/>
      <c r="D163" s="182"/>
      <c r="E163" s="230"/>
      <c r="F163" s="182"/>
      <c r="G163" s="99"/>
      <c r="H163" s="340"/>
      <c r="I163" s="99"/>
      <c r="J163" s="99"/>
      <c r="K163" s="100"/>
      <c r="L163" s="99"/>
      <c r="M163" s="99"/>
      <c r="N163" s="99"/>
      <c r="O163" s="99"/>
      <c r="P163" s="99"/>
      <c r="Q163" s="99"/>
      <c r="S163" s="483"/>
      <c r="T163" s="483"/>
      <c r="U163" s="483"/>
      <c r="V163" s="483"/>
      <c r="W163" s="483"/>
      <c r="X163" s="483"/>
      <c r="Y163" s="483"/>
      <c r="Z163" s="483"/>
      <c r="AA163" s="483"/>
      <c r="AB163" s="483"/>
      <c r="AC163" s="483"/>
    </row>
    <row r="164" spans="1:29" ht="15.75" customHeight="1">
      <c r="A164" s="1569" t="s">
        <v>10</v>
      </c>
      <c r="B164" s="1570"/>
      <c r="C164" s="1570"/>
      <c r="D164" s="1570"/>
      <c r="E164" s="1570"/>
      <c r="F164" s="1571"/>
      <c r="G164" s="543" t="s">
        <v>83</v>
      </c>
      <c r="H164" s="458" t="s">
        <v>209</v>
      </c>
      <c r="I164" s="458" t="s">
        <v>555</v>
      </c>
      <c r="J164" s="458" t="s">
        <v>210</v>
      </c>
      <c r="K164" s="459"/>
      <c r="L164" s="458"/>
      <c r="M164" s="458"/>
      <c r="N164" s="458"/>
      <c r="O164" s="458"/>
      <c r="P164" s="458"/>
      <c r="Q164" s="368"/>
      <c r="S164" s="483"/>
      <c r="T164" s="483"/>
      <c r="U164" s="483"/>
      <c r="V164" s="483"/>
      <c r="W164" s="483"/>
      <c r="X164" s="483"/>
      <c r="Y164" s="483"/>
      <c r="Z164" s="483"/>
      <c r="AA164" s="483"/>
      <c r="AB164" s="483"/>
      <c r="AC164" s="483"/>
    </row>
    <row r="165" spans="1:29" ht="15.75" customHeight="1">
      <c r="A165" s="201">
        <v>61</v>
      </c>
      <c r="B165" s="182"/>
      <c r="C165" s="165" t="str">
        <f>'ATT H-2A'!C127</f>
        <v>Less extraordinary property losses</v>
      </c>
      <c r="D165" s="182"/>
      <c r="E165" s="182"/>
      <c r="F165" s="280" t="s">
        <v>55</v>
      </c>
      <c r="G165" s="460"/>
      <c r="H165" s="99"/>
      <c r="I165" s="99"/>
      <c r="J165" s="99"/>
      <c r="K165" s="100"/>
      <c r="L165" s="99"/>
      <c r="M165" s="99"/>
      <c r="N165" s="99"/>
      <c r="O165" s="99"/>
      <c r="P165" s="99"/>
      <c r="Q165" s="282"/>
      <c r="S165" s="483"/>
      <c r="T165" s="483"/>
      <c r="U165" s="483"/>
      <c r="V165" s="483"/>
      <c r="W165" s="483"/>
      <c r="X165" s="483"/>
      <c r="Y165" s="483"/>
      <c r="Z165" s="483"/>
      <c r="AA165" s="483"/>
      <c r="AB165" s="483"/>
      <c r="AC165" s="483"/>
    </row>
    <row r="166" spans="1:29" ht="24" customHeight="1" thickBot="1">
      <c r="A166" s="254">
        <v>62</v>
      </c>
      <c r="B166" s="259"/>
      <c r="C166" s="266" t="str">
        <f>'ATT H-2A'!C128</f>
        <v>Plus amortization of extraordinary property losses</v>
      </c>
      <c r="D166" s="259"/>
      <c r="E166" s="259"/>
      <c r="F166" s="281" t="s">
        <v>55</v>
      </c>
      <c r="G166" s="289"/>
      <c r="H166" s="283">
        <v>5</v>
      </c>
      <c r="I166" s="461">
        <f>G165/H166</f>
        <v>0</v>
      </c>
      <c r="J166" s="461">
        <f>I166-ISPMT('ATT H-2A'!H224,1, H166,'5 - Cost Support'!G165)</f>
        <v>0</v>
      </c>
      <c r="K166" s="298"/>
      <c r="L166" s="283"/>
      <c r="M166" s="283"/>
      <c r="N166" s="283"/>
      <c r="O166" s="283"/>
      <c r="P166" s="283"/>
      <c r="Q166" s="290"/>
      <c r="S166" s="491"/>
      <c r="T166" s="491"/>
      <c r="U166" s="483"/>
      <c r="V166" s="483"/>
      <c r="W166" s="483"/>
      <c r="X166" s="483"/>
      <c r="Y166" s="483"/>
      <c r="Z166" s="483"/>
      <c r="AA166" s="483"/>
      <c r="AB166" s="483"/>
      <c r="AC166" s="483"/>
    </row>
    <row r="167" spans="1:29" ht="12.75" customHeight="1">
      <c r="A167" s="557"/>
      <c r="B167" s="557"/>
      <c r="C167" s="557"/>
      <c r="D167" s="557"/>
      <c r="E167" s="557"/>
      <c r="F167" s="557"/>
      <c r="G167" s="99"/>
      <c r="H167" s="99"/>
      <c r="I167" s="99"/>
      <c r="J167" s="99"/>
      <c r="K167" s="100"/>
      <c r="L167" s="99"/>
      <c r="M167" s="99"/>
      <c r="N167" s="99"/>
      <c r="O167" s="99"/>
      <c r="P167" s="99"/>
      <c r="Q167" s="99"/>
      <c r="S167" s="491"/>
      <c r="T167" s="491"/>
      <c r="U167" s="483"/>
      <c r="V167" s="483"/>
      <c r="W167" s="483"/>
      <c r="X167" s="483"/>
      <c r="Y167" s="483"/>
      <c r="Z167" s="483"/>
      <c r="AA167" s="483"/>
      <c r="AB167" s="483"/>
      <c r="AC167" s="483"/>
    </row>
    <row r="168" spans="1:29" ht="20.149999999999999" customHeight="1">
      <c r="A168" s="318"/>
      <c r="B168" s="163"/>
      <c r="D168" s="84"/>
      <c r="E168" s="85"/>
      <c r="F168" s="86"/>
      <c r="G168" s="462"/>
      <c r="H168" s="97"/>
      <c r="I168" s="97"/>
      <c r="J168" s="97"/>
      <c r="K168" s="97"/>
      <c r="L168" s="97"/>
      <c r="M168" s="97"/>
      <c r="N168" s="97"/>
      <c r="O168" s="97"/>
      <c r="P168" s="97"/>
      <c r="Q168" s="389"/>
      <c r="S168" s="491"/>
      <c r="T168" s="491"/>
      <c r="U168" s="483"/>
      <c r="V168" s="483"/>
      <c r="W168" s="483"/>
      <c r="X168" s="483"/>
      <c r="Y168" s="483"/>
      <c r="Z168" s="483"/>
      <c r="AA168" s="483"/>
      <c r="AB168" s="483"/>
      <c r="AC168" s="483"/>
    </row>
    <row r="169" spans="1:29" ht="21.25" customHeight="1">
      <c r="A169" s="557"/>
      <c r="B169" s="557"/>
      <c r="C169" s="557"/>
      <c r="D169" s="557"/>
      <c r="E169" s="557"/>
      <c r="F169" s="557"/>
      <c r="G169" s="99"/>
      <c r="H169" s="99"/>
      <c r="I169" s="99"/>
      <c r="J169" s="99"/>
      <c r="K169" s="100"/>
      <c r="L169" s="99"/>
      <c r="M169" s="99"/>
      <c r="N169" s="99"/>
      <c r="O169" s="99"/>
      <c r="P169" s="223"/>
      <c r="Q169" s="99"/>
      <c r="S169" s="491"/>
      <c r="T169" s="491"/>
      <c r="U169" s="483"/>
      <c r="V169" s="483"/>
      <c r="W169" s="483"/>
      <c r="X169" s="483"/>
      <c r="Y169" s="483"/>
      <c r="Z169" s="483"/>
      <c r="AA169" s="483"/>
      <c r="AB169" s="483"/>
      <c r="AC169" s="483"/>
    </row>
    <row r="170" spans="1:29" ht="21.25" customHeight="1" thickBot="1">
      <c r="A170" s="264" t="s">
        <v>544</v>
      </c>
      <c r="G170" s="97"/>
      <c r="H170" s="97"/>
      <c r="I170" s="97"/>
      <c r="J170" s="97"/>
      <c r="K170" s="97"/>
      <c r="L170" s="97"/>
      <c r="M170" s="97"/>
      <c r="N170" s="97"/>
      <c r="O170" s="97"/>
      <c r="P170" s="97"/>
      <c r="Q170" s="97"/>
      <c r="S170" s="491"/>
      <c r="T170" s="491"/>
      <c r="U170" s="483"/>
      <c r="V170" s="483"/>
      <c r="W170" s="483"/>
      <c r="X170" s="483"/>
      <c r="Y170" s="483"/>
      <c r="Z170" s="483"/>
      <c r="AA170" s="483"/>
      <c r="AB170" s="483"/>
      <c r="AC170" s="483"/>
    </row>
    <row r="171" spans="1:29" ht="26.5" customHeight="1">
      <c r="A171" s="1569" t="s">
        <v>10</v>
      </c>
      <c r="B171" s="1570"/>
      <c r="C171" s="1570"/>
      <c r="D171" s="1570"/>
      <c r="E171" s="1570"/>
      <c r="F171" s="1571"/>
      <c r="G171" s="296" t="str">
        <f>+C173</f>
        <v>Outstanding Network Credits</v>
      </c>
      <c r="H171" s="1572" t="s">
        <v>482</v>
      </c>
      <c r="I171" s="1572"/>
      <c r="J171" s="1572"/>
      <c r="K171" s="1572"/>
      <c r="L171" s="1572"/>
      <c r="M171" s="1572"/>
      <c r="N171" s="1572"/>
      <c r="O171" s="1572"/>
      <c r="P171" s="1572"/>
      <c r="Q171" s="1644"/>
      <c r="S171" s="491"/>
      <c r="T171" s="491"/>
      <c r="U171" s="483"/>
      <c r="V171" s="483"/>
      <c r="W171" s="483"/>
      <c r="X171" s="483"/>
      <c r="Y171" s="483"/>
      <c r="Z171" s="483"/>
      <c r="AA171" s="483"/>
      <c r="AB171" s="483"/>
      <c r="AC171" s="483"/>
    </row>
    <row r="172" spans="1:29" ht="15.75" customHeight="1">
      <c r="A172" s="222"/>
      <c r="B172" s="157" t="s">
        <v>431</v>
      </c>
      <c r="C172" s="223"/>
      <c r="D172" s="164"/>
      <c r="E172" s="224"/>
      <c r="F172" s="191"/>
      <c r="G172" s="284"/>
      <c r="H172" s="99"/>
      <c r="I172" s="99"/>
      <c r="J172" s="99"/>
      <c r="K172" s="99"/>
      <c r="L172" s="99"/>
      <c r="M172" s="99"/>
      <c r="N172" s="99"/>
      <c r="O172" s="99"/>
      <c r="P172" s="99"/>
      <c r="Q172" s="282"/>
      <c r="S172" s="491"/>
      <c r="T172" s="491"/>
      <c r="U172" s="483"/>
      <c r="V172" s="483"/>
      <c r="W172" s="483"/>
      <c r="X172" s="483"/>
      <c r="Y172" s="483"/>
      <c r="Z172" s="483"/>
      <c r="AA172" s="483"/>
      <c r="AB172" s="483"/>
      <c r="AC172" s="483"/>
    </row>
    <row r="173" spans="1:29" ht="15.75" customHeight="1">
      <c r="A173" s="201">
        <v>55</v>
      </c>
      <c r="B173" s="182"/>
      <c r="C173" s="165" t="str">
        <f>'Exh F - AA-BL Items'!C94</f>
        <v>Outstanding Network Credits</v>
      </c>
      <c r="D173" s="182"/>
      <c r="E173" s="230" t="str">
        <f>'Exh F - AA-BL Items'!E94</f>
        <v>(Note N)</v>
      </c>
      <c r="F173" s="280" t="str">
        <f>'Exh F - AA-BL Items'!F94</f>
        <v>From PJM</v>
      </c>
      <c r="G173" s="287">
        <v>0</v>
      </c>
      <c r="H173" s="1565" t="s">
        <v>480</v>
      </c>
      <c r="I173" s="1565"/>
      <c r="J173" s="1565"/>
      <c r="K173" s="1565"/>
      <c r="L173" s="1565"/>
      <c r="M173" s="1565"/>
      <c r="N173" s="1565"/>
      <c r="O173" s="1565"/>
      <c r="P173" s="1565"/>
      <c r="Q173" s="1626"/>
      <c r="S173" s="491"/>
      <c r="T173" s="491"/>
      <c r="U173" s="483"/>
      <c r="V173" s="483"/>
      <c r="W173" s="483"/>
      <c r="X173" s="483"/>
      <c r="Y173" s="483"/>
      <c r="Z173" s="483"/>
      <c r="AA173" s="483"/>
      <c r="AB173" s="483"/>
      <c r="AC173" s="483"/>
    </row>
    <row r="174" spans="1:29" ht="15.75" customHeight="1">
      <c r="A174" s="201"/>
      <c r="B174" s="182"/>
      <c r="C174" s="182"/>
      <c r="D174" s="182"/>
      <c r="E174" s="230"/>
      <c r="F174" s="280"/>
      <c r="G174" s="284"/>
      <c r="H174" s="99"/>
      <c r="I174" s="99"/>
      <c r="J174" s="99"/>
      <c r="K174" s="99"/>
      <c r="L174" s="99"/>
      <c r="M174" s="99"/>
      <c r="N174" s="99"/>
      <c r="O174" s="134"/>
      <c r="P174" s="99"/>
      <c r="Q174" s="282"/>
      <c r="S174" s="491"/>
      <c r="T174" s="491"/>
      <c r="U174" s="483"/>
      <c r="V174" s="483"/>
      <c r="W174" s="483"/>
      <c r="X174" s="483"/>
      <c r="Y174" s="483"/>
      <c r="Z174" s="483"/>
      <c r="AA174" s="483"/>
      <c r="AB174" s="483"/>
      <c r="AC174" s="483"/>
    </row>
    <row r="175" spans="1:29" ht="15.75" customHeight="1">
      <c r="A175" s="201"/>
      <c r="B175" s="182"/>
      <c r="C175" s="182"/>
      <c r="D175" s="182"/>
      <c r="E175" s="230"/>
      <c r="F175" s="280"/>
      <c r="G175" s="286" t="s">
        <v>474</v>
      </c>
      <c r="H175" s="1565" t="s">
        <v>39</v>
      </c>
      <c r="I175" s="1565"/>
      <c r="J175" s="1565"/>
      <c r="K175" s="1565"/>
      <c r="L175" s="1565"/>
      <c r="M175" s="1565"/>
      <c r="N175" s="1565"/>
      <c r="O175" s="1565"/>
      <c r="P175" s="1565"/>
      <c r="Q175" s="1626"/>
      <c r="S175" s="491"/>
      <c r="T175" s="491"/>
      <c r="U175" s="483"/>
      <c r="V175" s="483"/>
      <c r="W175" s="483"/>
      <c r="X175" s="483"/>
      <c r="Y175" s="483"/>
      <c r="Z175" s="483"/>
      <c r="AA175" s="483"/>
      <c r="AB175" s="483"/>
      <c r="AC175" s="483"/>
    </row>
    <row r="176" spans="1:29" ht="15.75" customHeight="1">
      <c r="A176" s="201"/>
      <c r="B176" s="182"/>
      <c r="C176" s="182"/>
      <c r="D176" s="182"/>
      <c r="E176" s="230"/>
      <c r="F176" s="280"/>
      <c r="G176" s="286"/>
      <c r="H176" s="1565"/>
      <c r="I176" s="1565"/>
      <c r="J176" s="1565"/>
      <c r="K176" s="1565"/>
      <c r="L176" s="1565"/>
      <c r="M176" s="1565"/>
      <c r="N176" s="1565"/>
      <c r="O176" s="1565"/>
      <c r="P176" s="1565"/>
      <c r="Q176" s="1626"/>
      <c r="S176" s="491"/>
      <c r="T176" s="491"/>
      <c r="U176" s="483"/>
      <c r="V176" s="483"/>
      <c r="W176" s="483"/>
      <c r="X176" s="483"/>
      <c r="Y176" s="483"/>
      <c r="Z176" s="483"/>
      <c r="AA176" s="483"/>
      <c r="AB176" s="483"/>
      <c r="AC176" s="483"/>
    </row>
    <row r="177" spans="1:29" ht="15.75" customHeight="1">
      <c r="A177" s="201"/>
      <c r="B177" s="182"/>
      <c r="C177" s="182"/>
      <c r="D177" s="182"/>
      <c r="E177" s="230"/>
      <c r="F177" s="280"/>
      <c r="G177" s="286"/>
      <c r="H177" s="1565"/>
      <c r="I177" s="1565"/>
      <c r="J177" s="1565"/>
      <c r="K177" s="1565"/>
      <c r="L177" s="1565"/>
      <c r="M177" s="1565"/>
      <c r="N177" s="1565"/>
      <c r="O177" s="1565"/>
      <c r="P177" s="1565"/>
      <c r="Q177" s="1626"/>
      <c r="S177" s="491"/>
      <c r="T177" s="491"/>
      <c r="U177" s="483"/>
      <c r="V177" s="483"/>
      <c r="W177" s="483"/>
      <c r="X177" s="483"/>
      <c r="Y177" s="483"/>
      <c r="Z177" s="483"/>
      <c r="AA177" s="483"/>
      <c r="AB177" s="483"/>
      <c r="AC177" s="483"/>
    </row>
    <row r="178" spans="1:29" ht="15.75" customHeight="1">
      <c r="A178" s="201">
        <v>56</v>
      </c>
      <c r="B178" s="182"/>
      <c r="C178" s="165" t="str">
        <f>+'ATT H-2A'!C116</f>
        <v xml:space="preserve">    Less Accumulated Depreciation Associated with Facilities with Outstanding Network Credits</v>
      </c>
      <c r="D178" s="182"/>
      <c r="E178" s="182" t="str">
        <f>+'ATT H-2A'!E116</f>
        <v>(Note N)</v>
      </c>
      <c r="F178" s="182" t="str">
        <f>+'ATT H-2A'!F116</f>
        <v>From PJM</v>
      </c>
      <c r="G178" s="286">
        <v>0</v>
      </c>
      <c r="H178" s="1565"/>
      <c r="I178" s="1565"/>
      <c r="J178" s="1565"/>
      <c r="K178" s="1565"/>
      <c r="L178" s="1565"/>
      <c r="M178" s="1565"/>
      <c r="N178" s="1565"/>
      <c r="O178" s="1565"/>
      <c r="P178" s="1565"/>
      <c r="Q178" s="1626"/>
      <c r="S178" s="483"/>
      <c r="T178" s="483"/>
      <c r="U178" s="483"/>
      <c r="V178" s="483"/>
      <c r="W178" s="483"/>
      <c r="X178" s="483"/>
      <c r="Y178" s="483"/>
      <c r="Z178" s="483"/>
      <c r="AA178" s="483"/>
      <c r="AB178" s="483"/>
      <c r="AC178" s="483"/>
    </row>
    <row r="179" spans="1:29" ht="15.75" customHeight="1">
      <c r="A179" s="201"/>
      <c r="B179" s="182"/>
      <c r="C179" s="182"/>
      <c r="D179" s="182"/>
      <c r="E179" s="230"/>
      <c r="F179" s="280"/>
      <c r="G179" s="286"/>
      <c r="H179" s="1565"/>
      <c r="I179" s="1565"/>
      <c r="J179" s="1565"/>
      <c r="K179" s="1565"/>
      <c r="L179" s="1565"/>
      <c r="M179" s="1565"/>
      <c r="N179" s="1565"/>
      <c r="O179" s="1565"/>
      <c r="P179" s="1565"/>
      <c r="Q179" s="1626"/>
      <c r="S179" s="483"/>
      <c r="T179" s="483"/>
      <c r="U179" s="483"/>
      <c r="V179" s="483"/>
      <c r="W179" s="483"/>
      <c r="X179" s="483"/>
      <c r="Y179" s="483"/>
      <c r="Z179" s="483"/>
      <c r="AA179" s="483"/>
      <c r="AB179" s="483"/>
      <c r="AC179" s="483"/>
    </row>
    <row r="180" spans="1:29" ht="15.75" customHeight="1">
      <c r="A180" s="201"/>
      <c r="B180" s="182"/>
      <c r="C180" s="182"/>
      <c r="D180" s="182"/>
      <c r="E180" s="230"/>
      <c r="F180" s="280"/>
      <c r="G180" s="286" t="s">
        <v>474</v>
      </c>
      <c r="H180" s="1565" t="s">
        <v>39</v>
      </c>
      <c r="I180" s="1565"/>
      <c r="J180" s="1565"/>
      <c r="K180" s="1565"/>
      <c r="L180" s="1565"/>
      <c r="M180" s="1565"/>
      <c r="N180" s="1565"/>
      <c r="O180" s="1565"/>
      <c r="P180" s="1565"/>
      <c r="Q180" s="1626"/>
      <c r="S180" s="483"/>
      <c r="T180" s="483"/>
      <c r="U180" s="483"/>
      <c r="V180" s="483"/>
      <c r="W180" s="483"/>
      <c r="X180" s="483"/>
      <c r="Y180" s="483"/>
      <c r="Z180" s="483"/>
      <c r="AA180" s="483"/>
      <c r="AB180" s="483"/>
      <c r="AC180" s="483"/>
    </row>
    <row r="181" spans="1:29" ht="15.75" customHeight="1">
      <c r="A181" s="201"/>
      <c r="B181" s="182"/>
      <c r="C181" s="182"/>
      <c r="D181" s="182"/>
      <c r="E181" s="230"/>
      <c r="F181" s="280"/>
      <c r="G181" s="286"/>
      <c r="H181" s="1565"/>
      <c r="I181" s="1565"/>
      <c r="J181" s="1565"/>
      <c r="K181" s="1565"/>
      <c r="L181" s="1565"/>
      <c r="M181" s="1565"/>
      <c r="N181" s="1565"/>
      <c r="O181" s="1565"/>
      <c r="P181" s="1565"/>
      <c r="Q181" s="1626"/>
      <c r="S181" s="483"/>
      <c r="T181" s="483"/>
      <c r="U181" s="483"/>
      <c r="V181" s="483"/>
      <c r="W181" s="483"/>
      <c r="X181" s="483"/>
      <c r="Y181" s="483"/>
      <c r="Z181" s="483"/>
      <c r="AA181" s="483"/>
      <c r="AB181" s="483"/>
      <c r="AC181" s="483"/>
    </row>
    <row r="182" spans="1:29" ht="16.5" customHeight="1" thickBot="1">
      <c r="A182" s="254"/>
      <c r="B182" s="259"/>
      <c r="C182" s="259"/>
      <c r="D182" s="259"/>
      <c r="E182" s="267"/>
      <c r="F182" s="281"/>
      <c r="G182" s="289"/>
      <c r="H182" s="283"/>
      <c r="I182" s="283"/>
      <c r="J182" s="283"/>
      <c r="K182" s="298" t="s">
        <v>477</v>
      </c>
      <c r="L182" s="283"/>
      <c r="M182" s="283"/>
      <c r="N182" s="283"/>
      <c r="O182" s="283"/>
      <c r="P182" s="283"/>
      <c r="Q182" s="290"/>
      <c r="S182" s="483"/>
      <c r="T182" s="483"/>
      <c r="U182" s="483"/>
      <c r="V182" s="483"/>
      <c r="W182" s="483"/>
      <c r="X182" s="483"/>
      <c r="Y182" s="483"/>
      <c r="Z182" s="483"/>
      <c r="AA182" s="483"/>
      <c r="AB182" s="483"/>
      <c r="AC182" s="483"/>
    </row>
    <row r="183" spans="1:29" ht="15.75" customHeight="1">
      <c r="A183" s="182"/>
      <c r="B183" s="182"/>
      <c r="C183" s="182"/>
      <c r="D183" s="182"/>
      <c r="E183" s="230"/>
      <c r="F183" s="182"/>
      <c r="G183" s="99"/>
      <c r="H183" s="99"/>
      <c r="I183" s="99"/>
      <c r="J183" s="99"/>
      <c r="K183" s="100"/>
      <c r="L183" s="99"/>
      <c r="M183" s="99"/>
      <c r="N183" s="99"/>
      <c r="O183" s="99"/>
      <c r="P183" s="99"/>
      <c r="Q183" s="99"/>
      <c r="S183" s="483"/>
      <c r="T183" s="483"/>
      <c r="U183" s="483"/>
      <c r="V183" s="483"/>
      <c r="W183" s="483"/>
      <c r="X183" s="483"/>
      <c r="Y183" s="483"/>
      <c r="Z183" s="483"/>
      <c r="AA183" s="483"/>
      <c r="AB183" s="483"/>
      <c r="AC183" s="483"/>
    </row>
    <row r="184" spans="1:29" ht="15.75" customHeight="1">
      <c r="A184" s="182"/>
      <c r="B184" s="182"/>
      <c r="C184" s="182"/>
      <c r="D184" s="182"/>
      <c r="E184" s="230"/>
      <c r="F184" s="182"/>
      <c r="G184" s="99"/>
      <c r="H184" s="99"/>
      <c r="I184" s="99"/>
      <c r="J184" s="99"/>
      <c r="K184" s="100"/>
      <c r="L184" s="99"/>
      <c r="M184" s="99"/>
      <c r="N184" s="99"/>
      <c r="O184" s="99"/>
      <c r="P184" s="99"/>
      <c r="Q184" s="99"/>
      <c r="S184" s="483"/>
      <c r="T184" s="483"/>
      <c r="U184" s="483"/>
      <c r="V184" s="483"/>
      <c r="W184" s="483"/>
      <c r="X184" s="483"/>
      <c r="Y184" s="483"/>
      <c r="Z184" s="483"/>
      <c r="AA184" s="483"/>
      <c r="AB184" s="483"/>
      <c r="AC184" s="483"/>
    </row>
    <row r="185" spans="1:29" ht="24" customHeight="1">
      <c r="A185" s="523" t="s">
        <v>678</v>
      </c>
      <c r="B185" s="524"/>
      <c r="C185" s="524"/>
      <c r="D185" s="524"/>
      <c r="E185" s="524"/>
      <c r="F185" s="524"/>
      <c r="G185" s="524"/>
      <c r="H185" s="525"/>
      <c r="I185" s="99"/>
      <c r="J185" s="99"/>
      <c r="K185" s="100"/>
      <c r="L185" s="99"/>
      <c r="M185" s="99"/>
      <c r="N185" s="99"/>
      <c r="O185" s="99"/>
      <c r="P185" s="99"/>
      <c r="Q185" s="99"/>
      <c r="S185" s="483"/>
      <c r="T185" s="483"/>
      <c r="U185" s="483"/>
      <c r="V185" s="483"/>
      <c r="W185" s="483"/>
      <c r="X185" s="483"/>
      <c r="Y185" s="483"/>
      <c r="Z185" s="483"/>
      <c r="AA185" s="483"/>
      <c r="AB185" s="483"/>
      <c r="AC185" s="483"/>
    </row>
    <row r="186" spans="1:29" ht="15.75" customHeight="1">
      <c r="A186" s="517"/>
      <c r="B186" s="501"/>
      <c r="C186" s="501" t="s">
        <v>656</v>
      </c>
      <c r="D186" s="501" t="s">
        <v>655</v>
      </c>
      <c r="E186" s="501"/>
      <c r="F186" s="737" t="s">
        <v>682</v>
      </c>
      <c r="G186" s="737" t="s">
        <v>753</v>
      </c>
      <c r="H186" s="518" t="s">
        <v>777</v>
      </c>
      <c r="I186" s="99"/>
      <c r="J186" s="99"/>
      <c r="K186" s="100"/>
      <c r="L186" s="99"/>
      <c r="M186" s="99"/>
      <c r="N186" s="99"/>
      <c r="O186" s="99"/>
      <c r="P186" s="99"/>
      <c r="Q186" s="99"/>
      <c r="S186" s="483"/>
      <c r="T186" s="483"/>
      <c r="U186" s="483"/>
      <c r="V186" s="483"/>
      <c r="W186" s="483"/>
      <c r="X186" s="483"/>
      <c r="Y186" s="483"/>
      <c r="Z186" s="483"/>
      <c r="AA186" s="483"/>
      <c r="AB186" s="483"/>
      <c r="AC186" s="483"/>
    </row>
    <row r="187" spans="1:29" ht="15.75" customHeight="1">
      <c r="A187" s="517"/>
      <c r="B187" s="501"/>
      <c r="C187" s="501"/>
      <c r="D187" s="501"/>
      <c r="E187" s="501"/>
      <c r="F187" s="737"/>
      <c r="G187" s="737"/>
      <c r="H187" s="518"/>
      <c r="I187" s="99"/>
      <c r="J187" s="99"/>
      <c r="K187" s="100"/>
      <c r="L187" s="99"/>
      <c r="M187" s="99"/>
      <c r="N187" s="99"/>
      <c r="O187" s="99"/>
      <c r="P187" s="99"/>
      <c r="Q187" s="99"/>
      <c r="S187" s="483"/>
      <c r="T187" s="483"/>
      <c r="U187" s="483"/>
      <c r="V187" s="483"/>
      <c r="W187" s="483"/>
      <c r="X187" s="483"/>
      <c r="Y187" s="483"/>
      <c r="Z187" s="483"/>
      <c r="AA187" s="483"/>
      <c r="AB187" s="483"/>
      <c r="AC187" s="483"/>
    </row>
    <row r="188" spans="1:29" ht="154.5">
      <c r="A188" s="519" t="s">
        <v>660</v>
      </c>
      <c r="B188" s="477"/>
      <c r="C188" s="503" t="s">
        <v>679</v>
      </c>
      <c r="D188" s="526" t="s">
        <v>779</v>
      </c>
      <c r="E188" s="501"/>
      <c r="F188" s="738">
        <v>0</v>
      </c>
      <c r="G188" s="738">
        <v>0</v>
      </c>
      <c r="H188" s="911">
        <v>593500.40000000014</v>
      </c>
      <c r="I188" s="99"/>
      <c r="J188" s="99"/>
      <c r="K188" s="100"/>
      <c r="L188" s="99"/>
      <c r="M188" s="99"/>
      <c r="N188" s="99"/>
      <c r="O188" s="99"/>
      <c r="P188" s="99"/>
      <c r="Q188" s="99"/>
      <c r="S188" s="483"/>
      <c r="T188" s="483"/>
      <c r="U188" s="483"/>
      <c r="V188" s="483"/>
      <c r="W188" s="483"/>
      <c r="X188" s="483"/>
      <c r="Y188" s="483"/>
      <c r="Z188" s="483"/>
      <c r="AA188" s="483"/>
      <c r="AB188" s="483"/>
      <c r="AC188" s="483"/>
    </row>
    <row r="189" spans="1:29" ht="140.5">
      <c r="A189" s="519" t="s">
        <v>661</v>
      </c>
      <c r="B189" s="477"/>
      <c r="C189" s="503" t="s">
        <v>665</v>
      </c>
      <c r="D189" s="526" t="s">
        <v>780</v>
      </c>
      <c r="E189" s="501"/>
      <c r="F189" s="738"/>
      <c r="G189" s="738">
        <v>1</v>
      </c>
      <c r="H189" s="911">
        <v>1</v>
      </c>
      <c r="I189" s="99"/>
      <c r="J189" s="99"/>
      <c r="K189" s="100"/>
      <c r="L189" s="99"/>
      <c r="M189" s="99"/>
      <c r="N189" s="99"/>
      <c r="O189" s="99"/>
      <c r="P189" s="99"/>
      <c r="Q189" s="99"/>
      <c r="S189" s="483"/>
      <c r="T189" s="483"/>
      <c r="U189" s="483"/>
      <c r="V189" s="483"/>
      <c r="W189" s="483"/>
      <c r="X189" s="483"/>
      <c r="Y189" s="483"/>
      <c r="Z189" s="483"/>
      <c r="AA189" s="483"/>
      <c r="AB189" s="483"/>
      <c r="AC189" s="483"/>
    </row>
    <row r="190" spans="1:29" ht="15.75" customHeight="1">
      <c r="A190" s="519" t="s">
        <v>666</v>
      </c>
      <c r="B190" s="477"/>
      <c r="C190" s="503" t="s">
        <v>683</v>
      </c>
      <c r="D190" s="477" t="s">
        <v>662</v>
      </c>
      <c r="E190" s="501"/>
      <c r="F190" s="538" t="e">
        <f>+F188/F189</f>
        <v>#DIV/0!</v>
      </c>
      <c r="G190" s="538">
        <f>+G188/G189</f>
        <v>0</v>
      </c>
      <c r="H190" s="520">
        <f>+H188/H189</f>
        <v>593500.40000000014</v>
      </c>
      <c r="I190" s="99"/>
      <c r="J190" s="99"/>
      <c r="K190" s="100"/>
      <c r="L190" s="99"/>
      <c r="M190" s="99"/>
      <c r="N190" s="99"/>
      <c r="O190" s="99"/>
      <c r="P190" s="99"/>
      <c r="Q190" s="99"/>
      <c r="S190" s="483"/>
      <c r="T190" s="483"/>
      <c r="U190" s="483"/>
      <c r="V190" s="483"/>
      <c r="W190" s="483"/>
      <c r="X190" s="483"/>
      <c r="Y190" s="483"/>
      <c r="Z190" s="483"/>
      <c r="AA190" s="483"/>
      <c r="AB190" s="483"/>
      <c r="AC190" s="483"/>
    </row>
    <row r="191" spans="1:29" ht="15.75" customHeight="1">
      <c r="A191" s="519"/>
      <c r="B191" s="477"/>
      <c r="C191" s="44"/>
      <c r="D191" s="501"/>
      <c r="E191" s="501"/>
      <c r="F191" s="737"/>
      <c r="G191" s="737"/>
      <c r="H191" s="518"/>
      <c r="I191" s="99"/>
      <c r="J191" s="99"/>
      <c r="K191" s="100"/>
      <c r="L191" s="99"/>
      <c r="M191" s="99"/>
      <c r="N191" s="99"/>
      <c r="O191" s="99"/>
      <c r="P191" s="99"/>
      <c r="Q191" s="99"/>
      <c r="S191" s="483"/>
      <c r="T191" s="483"/>
      <c r="U191" s="483"/>
      <c r="V191" s="483"/>
      <c r="W191" s="483"/>
      <c r="X191" s="483"/>
      <c r="Y191" s="483"/>
      <c r="Z191" s="483"/>
      <c r="AA191" s="483"/>
      <c r="AB191" s="483"/>
      <c r="AC191" s="483"/>
    </row>
    <row r="192" spans="1:29" ht="15.75" customHeight="1">
      <c r="A192" s="519" t="s">
        <v>667</v>
      </c>
      <c r="B192" s="477"/>
      <c r="C192" s="44" t="s">
        <v>668</v>
      </c>
      <c r="D192" s="477" t="s">
        <v>673</v>
      </c>
      <c r="E192" s="501"/>
      <c r="F192" s="538"/>
      <c r="G192" s="538">
        <f>+G188-G190</f>
        <v>0</v>
      </c>
      <c r="H192" s="520">
        <f>+H188-H190</f>
        <v>0</v>
      </c>
      <c r="I192" s="807"/>
      <c r="J192" s="99"/>
      <c r="K192" s="100"/>
      <c r="L192" s="99"/>
      <c r="M192" s="99"/>
      <c r="N192" s="99"/>
      <c r="O192" s="99"/>
      <c r="P192" s="99"/>
      <c r="Q192" s="99"/>
      <c r="S192" s="483"/>
      <c r="T192" s="483"/>
      <c r="U192" s="483"/>
      <c r="V192" s="483"/>
      <c r="W192" s="483"/>
      <c r="X192" s="483"/>
      <c r="Y192" s="483"/>
      <c r="Z192" s="483"/>
      <c r="AA192" s="483"/>
      <c r="AB192" s="483"/>
      <c r="AC192" s="483"/>
    </row>
    <row r="193" spans="1:29" ht="15.75" customHeight="1">
      <c r="A193" s="519" t="s">
        <v>669</v>
      </c>
      <c r="B193" s="477"/>
      <c r="C193" s="503" t="s">
        <v>684</v>
      </c>
      <c r="D193" s="477" t="s">
        <v>674</v>
      </c>
      <c r="E193" s="501"/>
      <c r="F193" s="538">
        <f>+(F188+F192)/2</f>
        <v>0</v>
      </c>
      <c r="G193" s="538">
        <f>+(G188+G192)/2</f>
        <v>0</v>
      </c>
      <c r="H193" s="520">
        <f>+(H188+H192)/2</f>
        <v>296750.20000000007</v>
      </c>
      <c r="I193" s="99"/>
      <c r="J193" s="99"/>
      <c r="K193" s="100"/>
      <c r="L193" s="99"/>
      <c r="M193" s="99"/>
      <c r="N193" s="99"/>
      <c r="O193" s="99"/>
      <c r="P193" s="99"/>
      <c r="Q193" s="99"/>
      <c r="S193" s="483"/>
      <c r="T193" s="483"/>
      <c r="U193" s="483"/>
      <c r="V193" s="483"/>
      <c r="W193" s="483"/>
      <c r="X193" s="483"/>
      <c r="Y193" s="483"/>
      <c r="Z193" s="483"/>
      <c r="AA193" s="483"/>
      <c r="AB193" s="483"/>
      <c r="AC193" s="483"/>
    </row>
    <row r="194" spans="1:29" ht="15.75" customHeight="1">
      <c r="A194" s="517"/>
      <c r="B194" s="501"/>
      <c r="C194" s="501"/>
      <c r="D194" s="501"/>
      <c r="E194" s="501"/>
      <c r="F194" s="737"/>
      <c r="G194" s="737"/>
      <c r="H194" s="518"/>
      <c r="I194" s="99"/>
      <c r="J194" s="99"/>
      <c r="K194" s="100"/>
      <c r="L194" s="99"/>
      <c r="M194" s="99"/>
      <c r="N194" s="99"/>
      <c r="O194" s="99"/>
      <c r="P194" s="99"/>
      <c r="Q194" s="99"/>
    </row>
    <row r="195" spans="1:29" ht="15.75" customHeight="1">
      <c r="A195" s="519" t="s">
        <v>670</v>
      </c>
      <c r="B195" s="477"/>
      <c r="C195" s="44" t="s">
        <v>654</v>
      </c>
      <c r="D195" s="477" t="s">
        <v>658</v>
      </c>
      <c r="E195" s="477"/>
      <c r="F195" s="538">
        <f>+'ATT H-2A'!H267+'ATT H-2A'!H268</f>
        <v>142091639.51359352</v>
      </c>
      <c r="G195" s="538">
        <f t="shared" ref="G195:H197" si="2">+F195</f>
        <v>142091639.51359352</v>
      </c>
      <c r="H195" s="520">
        <f t="shared" si="2"/>
        <v>142091639.51359352</v>
      </c>
      <c r="I195" s="99"/>
      <c r="J195" s="99"/>
      <c r="K195" s="100"/>
      <c r="L195" s="99"/>
      <c r="M195" s="99"/>
      <c r="N195" s="99"/>
      <c r="O195" s="99"/>
      <c r="P195" s="99"/>
      <c r="Q195" s="99"/>
    </row>
    <row r="196" spans="1:29" ht="15.75" customHeight="1">
      <c r="A196" s="519" t="s">
        <v>671</v>
      </c>
      <c r="B196" s="477"/>
      <c r="C196" s="44" t="s">
        <v>280</v>
      </c>
      <c r="D196" s="477" t="s">
        <v>659</v>
      </c>
      <c r="E196" s="477"/>
      <c r="F196" s="538">
        <f>+'ATT H-2A'!H262</f>
        <v>1624039767.6346238</v>
      </c>
      <c r="G196" s="538">
        <f t="shared" si="2"/>
        <v>1624039767.6346238</v>
      </c>
      <c r="H196" s="520">
        <f t="shared" si="2"/>
        <v>1624039767.6346238</v>
      </c>
      <c r="I196" s="99"/>
      <c r="J196" s="99"/>
      <c r="K196" s="100"/>
      <c r="L196" s="99"/>
      <c r="M196" s="99"/>
      <c r="N196" s="99"/>
      <c r="O196" s="99"/>
      <c r="P196" s="99"/>
      <c r="Q196" s="99"/>
    </row>
    <row r="197" spans="1:29" ht="15.75" customHeight="1">
      <c r="A197" s="519" t="s">
        <v>672</v>
      </c>
      <c r="B197" s="477"/>
      <c r="C197" s="44" t="s">
        <v>685</v>
      </c>
      <c r="D197" s="477" t="s">
        <v>680</v>
      </c>
      <c r="E197" s="477"/>
      <c r="F197" s="625">
        <f>+F195/F196</f>
        <v>8.7492709443037039E-2</v>
      </c>
      <c r="G197" s="783">
        <f t="shared" si="2"/>
        <v>8.7492709443037039E-2</v>
      </c>
      <c r="H197" s="521">
        <f t="shared" si="2"/>
        <v>8.7492709443037039E-2</v>
      </c>
      <c r="I197" s="99"/>
      <c r="J197" s="99"/>
      <c r="K197" s="100"/>
      <c r="L197" s="99"/>
      <c r="M197" s="99"/>
      <c r="N197" s="99"/>
      <c r="O197" s="99"/>
      <c r="P197" s="99"/>
      <c r="Q197" s="99"/>
    </row>
    <row r="198" spans="1:29" ht="15.75" customHeight="1">
      <c r="A198" s="519"/>
      <c r="B198" s="477"/>
      <c r="C198" s="44"/>
      <c r="D198" s="477"/>
      <c r="E198" s="477"/>
      <c r="F198" s="477"/>
      <c r="G198" s="477"/>
      <c r="H198" s="522"/>
      <c r="I198" s="99"/>
      <c r="J198" s="99"/>
      <c r="K198" s="100"/>
      <c r="L198" s="99"/>
      <c r="M198" s="99"/>
      <c r="N198" s="99"/>
      <c r="O198" s="99"/>
      <c r="P198" s="99"/>
      <c r="Q198" s="99"/>
    </row>
    <row r="199" spans="1:29" ht="15.75" customHeight="1">
      <c r="A199" s="519" t="s">
        <v>675</v>
      </c>
      <c r="B199" s="477"/>
      <c r="C199" s="44"/>
      <c r="D199" s="477"/>
      <c r="E199" s="477"/>
      <c r="F199" s="477"/>
      <c r="G199" s="477"/>
      <c r="H199" s="522"/>
      <c r="I199" s="99"/>
      <c r="J199" s="99"/>
      <c r="K199" s="100"/>
      <c r="L199" s="99"/>
      <c r="M199" s="99"/>
      <c r="N199" s="99"/>
      <c r="O199" s="99"/>
      <c r="P199" s="99"/>
      <c r="Q199" s="99"/>
    </row>
    <row r="200" spans="1:29" ht="15.75" customHeight="1">
      <c r="A200" s="519" t="s">
        <v>676</v>
      </c>
      <c r="B200" s="477"/>
      <c r="C200" s="44"/>
      <c r="D200" s="477"/>
      <c r="E200" s="477"/>
      <c r="F200" s="477"/>
      <c r="G200" s="477"/>
      <c r="H200" s="522"/>
      <c r="I200" s="99"/>
      <c r="J200" s="99"/>
      <c r="K200" s="100"/>
      <c r="L200" s="99"/>
      <c r="M200" s="99"/>
      <c r="N200" s="99"/>
      <c r="O200" s="99"/>
      <c r="P200" s="99"/>
      <c r="Q200" s="99"/>
    </row>
    <row r="201" spans="1:29" ht="15.75" customHeight="1">
      <c r="A201" s="739" t="s">
        <v>681</v>
      </c>
      <c r="B201" s="740"/>
      <c r="C201" s="314"/>
      <c r="D201" s="740"/>
      <c r="E201" s="740"/>
      <c r="F201" s="740"/>
      <c r="G201" s="740"/>
      <c r="H201" s="741"/>
      <c r="I201" s="99"/>
      <c r="J201" s="99"/>
      <c r="K201" s="100"/>
      <c r="L201" s="99"/>
      <c r="M201" s="99"/>
      <c r="N201" s="99"/>
      <c r="O201" s="99"/>
      <c r="P201" s="99"/>
      <c r="Q201" s="99"/>
    </row>
    <row r="202" spans="1:29" ht="15.75" customHeight="1">
      <c r="A202" s="182"/>
      <c r="B202" s="182"/>
      <c r="C202" s="182"/>
      <c r="D202" s="182"/>
      <c r="E202" s="230"/>
      <c r="F202" s="182"/>
      <c r="G202" s="99"/>
      <c r="H202" s="99"/>
      <c r="I202" s="99"/>
      <c r="J202" s="99"/>
      <c r="K202" s="100"/>
      <c r="L202" s="99"/>
      <c r="M202" s="99"/>
      <c r="N202" s="99"/>
      <c r="O202" s="99"/>
      <c r="P202" s="99"/>
      <c r="Q202" s="99"/>
    </row>
    <row r="203" spans="1:29" ht="15.75" customHeight="1">
      <c r="A203" s="182"/>
      <c r="B203" s="182"/>
      <c r="C203" s="182"/>
      <c r="D203" s="182"/>
      <c r="E203" s="230"/>
      <c r="F203" s="182"/>
      <c r="G203" s="99"/>
      <c r="H203" s="99"/>
      <c r="I203" s="99"/>
      <c r="J203" s="99"/>
      <c r="K203" s="100"/>
      <c r="L203" s="99"/>
      <c r="M203" s="99"/>
      <c r="N203" s="99"/>
      <c r="O203" s="99"/>
      <c r="P203" s="99"/>
      <c r="Q203" s="99"/>
    </row>
    <row r="204" spans="1:29" ht="21.25" customHeight="1" thickBot="1">
      <c r="A204" s="264" t="s">
        <v>546</v>
      </c>
      <c r="G204" s="97"/>
      <c r="H204" s="97"/>
      <c r="I204" s="97"/>
      <c r="J204" s="97"/>
      <c r="K204" s="97"/>
      <c r="L204" s="97"/>
      <c r="M204" s="97"/>
      <c r="N204" s="97"/>
      <c r="O204" s="97"/>
      <c r="P204" s="97"/>
      <c r="Q204" s="97"/>
    </row>
    <row r="205" spans="1:29" ht="26.5" customHeight="1">
      <c r="A205" s="1569" t="s">
        <v>10</v>
      </c>
      <c r="B205" s="1570"/>
      <c r="C205" s="1570"/>
      <c r="D205" s="1570"/>
      <c r="E205" s="1570"/>
      <c r="F205" s="1571"/>
      <c r="G205" s="296" t="str">
        <f>+C207</f>
        <v>Interest on Network Credits</v>
      </c>
      <c r="H205" s="1572" t="s">
        <v>485</v>
      </c>
      <c r="I205" s="1573"/>
      <c r="J205" s="1573"/>
      <c r="K205" s="1573"/>
      <c r="L205" s="1573"/>
      <c r="M205" s="1573"/>
      <c r="N205" s="1573"/>
      <c r="O205" s="1573"/>
      <c r="P205" s="1573"/>
      <c r="Q205" s="1628"/>
    </row>
    <row r="206" spans="1:29" ht="15.75" customHeight="1">
      <c r="A206" s="201"/>
      <c r="B206" s="157"/>
      <c r="C206" s="182"/>
      <c r="D206" s="182"/>
      <c r="E206" s="182"/>
      <c r="F206" s="280"/>
      <c r="G206" s="284"/>
      <c r="H206" s="99"/>
      <c r="I206" s="99"/>
      <c r="J206" s="99"/>
      <c r="K206" s="99"/>
      <c r="L206" s="99"/>
      <c r="M206" s="99"/>
      <c r="N206" s="99"/>
      <c r="O206" s="99"/>
      <c r="P206" s="99"/>
      <c r="Q206" s="282"/>
    </row>
    <row r="207" spans="1:29" ht="15.75" customHeight="1">
      <c r="A207" s="201">
        <v>154</v>
      </c>
      <c r="B207" s="182"/>
      <c r="C207" s="182" t="str">
        <f>'Exh F - AA-BL Items'!C247</f>
        <v>Interest on Network Credits</v>
      </c>
      <c r="D207" s="182"/>
      <c r="E207" s="230" t="str">
        <f>'Exh F - AA-BL Items'!E247</f>
        <v>(Note N)</v>
      </c>
      <c r="F207" s="280" t="str">
        <f>'Exh F - AA-BL Items'!F247</f>
        <v>PJM Data</v>
      </c>
      <c r="G207" s="287">
        <v>0</v>
      </c>
      <c r="H207" s="1565" t="s">
        <v>480</v>
      </c>
      <c r="I207" s="1566"/>
      <c r="J207" s="1566"/>
      <c r="K207" s="1566"/>
      <c r="L207" s="1566"/>
      <c r="M207" s="1566"/>
      <c r="N207" s="1566"/>
      <c r="O207" s="1566"/>
      <c r="P207" s="1566"/>
      <c r="Q207" s="1603"/>
    </row>
    <row r="208" spans="1:29" ht="15.75" customHeight="1">
      <c r="A208" s="201"/>
      <c r="B208" s="182"/>
      <c r="C208" s="182"/>
      <c r="D208" s="182"/>
      <c r="E208" s="230"/>
      <c r="F208" s="280"/>
      <c r="G208" s="284"/>
      <c r="H208" s="99"/>
      <c r="I208" s="99"/>
      <c r="J208" s="99"/>
      <c r="K208" s="99"/>
      <c r="L208" s="99"/>
      <c r="M208" s="99"/>
      <c r="N208" s="99"/>
      <c r="O208" s="134"/>
      <c r="P208" s="99"/>
      <c r="Q208" s="282"/>
    </row>
    <row r="209" spans="1:19" ht="15.5">
      <c r="A209" s="201"/>
      <c r="B209" s="182"/>
      <c r="C209" s="182"/>
      <c r="D209" s="182"/>
      <c r="E209" s="230"/>
      <c r="F209" s="280"/>
      <c r="G209" s="286" t="s">
        <v>474</v>
      </c>
      <c r="H209" s="1565" t="s">
        <v>39</v>
      </c>
      <c r="I209" s="1566"/>
      <c r="J209" s="1566"/>
      <c r="K209" s="1566"/>
      <c r="L209" s="1566"/>
      <c r="M209" s="1566"/>
      <c r="N209" s="1566"/>
      <c r="O209" s="1566"/>
      <c r="P209" s="1566"/>
      <c r="Q209" s="1603"/>
    </row>
    <row r="210" spans="1:19" ht="15.5">
      <c r="A210" s="201"/>
      <c r="B210" s="182"/>
      <c r="C210" s="182"/>
      <c r="D210" s="182"/>
      <c r="E210" s="230"/>
      <c r="F210" s="280"/>
      <c r="G210" s="286"/>
      <c r="H210" s="1565"/>
      <c r="I210" s="1566"/>
      <c r="J210" s="1566"/>
      <c r="K210" s="1566"/>
      <c r="L210" s="1566"/>
      <c r="M210" s="1566"/>
      <c r="N210" s="1566"/>
      <c r="O210" s="1566"/>
      <c r="P210" s="1566"/>
      <c r="Q210" s="1603"/>
    </row>
    <row r="211" spans="1:19" ht="15.5">
      <c r="A211" s="201"/>
      <c r="B211" s="182"/>
      <c r="C211" s="182"/>
      <c r="D211" s="182"/>
      <c r="E211" s="230"/>
      <c r="F211" s="280"/>
      <c r="G211" s="286"/>
      <c r="H211" s="1565"/>
      <c r="I211" s="1566"/>
      <c r="J211" s="1566"/>
      <c r="K211" s="1566"/>
      <c r="L211" s="1566"/>
      <c r="M211" s="1566"/>
      <c r="N211" s="1566"/>
      <c r="O211" s="1566"/>
      <c r="P211" s="1566"/>
      <c r="Q211" s="1603"/>
    </row>
    <row r="212" spans="1:19" ht="16" thickBot="1">
      <c r="A212" s="254"/>
      <c r="B212" s="259"/>
      <c r="C212" s="259"/>
      <c r="D212" s="259"/>
      <c r="E212" s="267"/>
      <c r="F212" s="281"/>
      <c r="G212" s="289"/>
      <c r="H212" s="283"/>
      <c r="I212" s="283"/>
      <c r="J212" s="283"/>
      <c r="K212" s="298" t="s">
        <v>477</v>
      </c>
      <c r="L212" s="283"/>
      <c r="M212" s="283"/>
      <c r="N212" s="283"/>
      <c r="O212" s="283"/>
      <c r="P212" s="283"/>
      <c r="Q212" s="290"/>
    </row>
    <row r="213" spans="1:19" ht="15.5">
      <c r="A213" s="182"/>
      <c r="B213" s="182"/>
      <c r="C213" s="182"/>
      <c r="D213" s="182"/>
      <c r="E213" s="230"/>
      <c r="F213" s="182"/>
      <c r="G213" s="99"/>
      <c r="H213" s="99"/>
      <c r="I213" s="99"/>
      <c r="J213" s="99"/>
      <c r="K213" s="100"/>
      <c r="L213" s="99"/>
      <c r="M213" s="99"/>
      <c r="N213" s="99"/>
      <c r="O213" s="99"/>
      <c r="P213" s="99"/>
      <c r="Q213" s="99"/>
    </row>
    <row r="214" spans="1:19" ht="15.5">
      <c r="A214" s="182"/>
      <c r="B214" s="182"/>
      <c r="C214" s="182"/>
      <c r="D214" s="182"/>
      <c r="E214" s="230"/>
      <c r="F214" s="182"/>
      <c r="G214" s="99"/>
      <c r="H214" s="99"/>
      <c r="I214" s="99"/>
      <c r="J214" s="99"/>
      <c r="K214" s="100"/>
      <c r="L214" s="99"/>
      <c r="M214" s="99"/>
      <c r="N214" s="99"/>
      <c r="O214" s="99"/>
      <c r="P214" s="99"/>
      <c r="Q214" s="99"/>
    </row>
    <row r="215" spans="1:19" ht="20.5" thickBot="1">
      <c r="A215" s="264" t="str">
        <f>+'ATT H-2A'!C305</f>
        <v>Facility Credits under Section 30.9 of the PJM OATT paid by Utility</v>
      </c>
      <c r="G215" s="97"/>
      <c r="H215" s="97"/>
      <c r="I215" s="97"/>
      <c r="J215" s="97"/>
      <c r="K215" s="97"/>
      <c r="L215" s="97"/>
      <c r="M215" s="97"/>
      <c r="N215" s="97"/>
      <c r="O215" s="97"/>
      <c r="P215" s="97"/>
      <c r="Q215" s="97"/>
    </row>
    <row r="216" spans="1:19" ht="18">
      <c r="A216" s="1569" t="s">
        <v>10</v>
      </c>
      <c r="B216" s="1570"/>
      <c r="C216" s="1570"/>
      <c r="D216" s="1570"/>
      <c r="E216" s="1570"/>
      <c r="F216" s="1571"/>
      <c r="G216" s="619" t="s">
        <v>378</v>
      </c>
      <c r="H216" s="1572" t="s">
        <v>483</v>
      </c>
      <c r="I216" s="1573"/>
      <c r="J216" s="1573"/>
      <c r="K216" s="1573"/>
      <c r="L216" s="1573"/>
      <c r="M216" s="1573"/>
      <c r="N216" s="1573"/>
      <c r="O216" s="1573"/>
      <c r="P216" s="1573"/>
      <c r="Q216" s="1628"/>
    </row>
    <row r="217" spans="1:19" ht="15.5">
      <c r="A217" s="201"/>
      <c r="B217" s="178" t="str">
        <f>+'ATT H-2A'!C302</f>
        <v>Net Revenue Requirement</v>
      </c>
      <c r="C217" s="138"/>
      <c r="D217" s="138"/>
      <c r="E217" s="139"/>
      <c r="F217" s="198"/>
      <c r="G217" s="99"/>
      <c r="H217" s="99"/>
      <c r="I217" s="99"/>
      <c r="J217" s="99"/>
      <c r="K217" s="99"/>
      <c r="L217" s="99"/>
      <c r="M217" s="99"/>
      <c r="N217" s="99"/>
      <c r="O217" s="99"/>
      <c r="P217" s="99"/>
      <c r="Q217" s="282"/>
    </row>
    <row r="218" spans="1:19" ht="16" thickBot="1">
      <c r="A218" s="254">
        <v>171</v>
      </c>
      <c r="B218" s="255"/>
      <c r="C218" s="259" t="str">
        <f>+'ATT H-2A'!C306</f>
        <v>Net Zonal Revenue Requirement</v>
      </c>
      <c r="D218" s="261"/>
      <c r="E218" s="259"/>
      <c r="F218" s="259"/>
      <c r="G218" s="404">
        <v>0</v>
      </c>
      <c r="H218" s="1567"/>
      <c r="I218" s="1568"/>
      <c r="J218" s="1568"/>
      <c r="K218" s="1568"/>
      <c r="L218" s="1568"/>
      <c r="M218" s="1568"/>
      <c r="N218" s="1568"/>
      <c r="O218" s="1568"/>
      <c r="P218" s="1568"/>
      <c r="Q218" s="1607"/>
    </row>
    <row r="219" spans="1:19" ht="15.5">
      <c r="A219" s="182"/>
      <c r="B219" s="163"/>
      <c r="C219" s="182"/>
      <c r="D219" s="148"/>
      <c r="E219" s="182"/>
      <c r="F219" s="182"/>
      <c r="G219" s="446"/>
      <c r="H219" s="622"/>
      <c r="I219" s="621"/>
      <c r="J219" s="621"/>
      <c r="K219" s="621"/>
      <c r="L219" s="621"/>
      <c r="M219" s="621"/>
      <c r="N219" s="621"/>
      <c r="O219" s="621"/>
      <c r="P219" s="621"/>
      <c r="Q219" s="621"/>
    </row>
    <row r="220" spans="1:19" ht="21.25" customHeight="1">
      <c r="A220" s="182"/>
      <c r="B220" s="163"/>
      <c r="C220" s="182"/>
      <c r="D220" s="148"/>
      <c r="E220" s="182"/>
      <c r="F220" s="182"/>
      <c r="G220" s="446"/>
      <c r="H220" s="622"/>
      <c r="I220" s="621"/>
      <c r="J220" s="621"/>
      <c r="K220" s="621"/>
      <c r="L220" s="621"/>
      <c r="M220" s="621"/>
      <c r="N220" s="621"/>
      <c r="O220" s="621"/>
      <c r="P220" s="621"/>
      <c r="Q220" s="621"/>
    </row>
    <row r="221" spans="1:19" ht="21.25" customHeight="1" thickBot="1">
      <c r="A221" s="264" t="s">
        <v>739</v>
      </c>
      <c r="G221" s="97"/>
      <c r="H221" s="97"/>
      <c r="I221" s="97"/>
      <c r="J221" s="97"/>
      <c r="K221" s="97"/>
      <c r="L221" s="97"/>
      <c r="M221" s="97"/>
      <c r="N221" s="97"/>
      <c r="O221" s="97"/>
      <c r="P221" s="97"/>
      <c r="Q221" s="97"/>
    </row>
    <row r="222" spans="1:19" ht="27" customHeight="1">
      <c r="A222" s="1569" t="s">
        <v>10</v>
      </c>
      <c r="B222" s="1570"/>
      <c r="C222" s="1570"/>
      <c r="D222" s="1570"/>
      <c r="E222" s="1570"/>
      <c r="F222" s="1571"/>
      <c r="G222" s="619" t="s">
        <v>740</v>
      </c>
      <c r="H222" s="619" t="s">
        <v>738</v>
      </c>
      <c r="I222" s="619" t="s">
        <v>741</v>
      </c>
      <c r="J222" s="1572" t="s">
        <v>389</v>
      </c>
      <c r="K222" s="1574"/>
      <c r="L222" s="1574"/>
      <c r="M222" s="1574"/>
      <c r="N222" s="1574"/>
      <c r="O222" s="1574"/>
      <c r="P222" s="1574"/>
      <c r="Q222" s="1606"/>
    </row>
    <row r="223" spans="1:19" ht="21.25" customHeight="1">
      <c r="A223" s="201"/>
      <c r="B223" s="184" t="s">
        <v>320</v>
      </c>
      <c r="C223" s="148"/>
      <c r="D223" s="148"/>
      <c r="E223" s="200"/>
      <c r="F223" s="226"/>
      <c r="G223" s="99"/>
      <c r="H223" s="99"/>
      <c r="I223" s="99"/>
      <c r="J223" s="1565"/>
      <c r="K223" s="1566"/>
      <c r="L223" s="1566"/>
      <c r="M223" s="1566"/>
      <c r="N223" s="1566"/>
      <c r="O223" s="1566"/>
      <c r="P223" s="1566"/>
      <c r="Q223" s="1603"/>
    </row>
    <row r="224" spans="1:19" ht="63.75" customHeight="1" thickBot="1">
      <c r="A224" s="254">
        <v>168</v>
      </c>
      <c r="B224" s="259"/>
      <c r="C224" s="260" t="s">
        <v>567</v>
      </c>
      <c r="D224" s="471"/>
      <c r="E224" s="273"/>
      <c r="F224" s="271"/>
      <c r="G224" s="540">
        <f>+'6- Reconciliation WS'!H63</f>
        <v>1681162.2084847249</v>
      </c>
      <c r="H224" s="541">
        <f>'6- Reconciliation WS'!H67</f>
        <v>-6505674</v>
      </c>
      <c r="I224" s="929">
        <f>+G224+H224</f>
        <v>-4824511.7915152749</v>
      </c>
      <c r="J224" s="1633" t="s">
        <v>1624</v>
      </c>
      <c r="K224" s="1633"/>
      <c r="L224" s="1633"/>
      <c r="M224" s="1633"/>
      <c r="N224" s="1633"/>
      <c r="O224" s="1633"/>
      <c r="P224" s="1633"/>
      <c r="Q224" s="1634"/>
      <c r="R224" s="609"/>
      <c r="S224" s="483"/>
    </row>
    <row r="225" spans="1:17" ht="21.25" customHeight="1">
      <c r="A225" s="182"/>
      <c r="B225" s="163"/>
      <c r="C225" s="182"/>
      <c r="D225" s="148"/>
      <c r="E225" s="182"/>
      <c r="F225" s="182"/>
      <c r="G225" s="446"/>
      <c r="H225" s="622"/>
      <c r="I225" s="621"/>
      <c r="J225" s="621"/>
      <c r="K225" s="621"/>
      <c r="L225" s="621"/>
      <c r="M225" s="621"/>
      <c r="N225" s="621"/>
      <c r="O225" s="621"/>
      <c r="P225" s="621"/>
      <c r="Q225" s="621"/>
    </row>
    <row r="226" spans="1:17" ht="13">
      <c r="G226" s="97"/>
      <c r="H226" s="97"/>
      <c r="I226" s="97"/>
      <c r="J226" s="97"/>
      <c r="K226" s="97"/>
      <c r="L226" s="97"/>
      <c r="M226" s="97"/>
      <c r="N226" s="97"/>
      <c r="O226" s="97"/>
      <c r="P226" s="97"/>
      <c r="Q226" s="97"/>
    </row>
    <row r="227" spans="1:17" ht="20.5" thickBot="1">
      <c r="A227" s="264" t="s">
        <v>542</v>
      </c>
      <c r="G227" s="97"/>
      <c r="H227" s="97"/>
      <c r="I227" s="97"/>
      <c r="J227" s="97"/>
      <c r="K227" s="97"/>
      <c r="L227" s="97"/>
      <c r="M227" s="97"/>
      <c r="N227" s="97"/>
      <c r="O227" s="97"/>
      <c r="P227" s="97"/>
      <c r="Q227" s="97"/>
    </row>
    <row r="228" spans="1:17" ht="18">
      <c r="A228" s="1569" t="s">
        <v>10</v>
      </c>
      <c r="B228" s="1570"/>
      <c r="C228" s="1570"/>
      <c r="D228" s="1570"/>
      <c r="E228" s="1570"/>
      <c r="F228" s="1571"/>
      <c r="G228" s="296" t="str">
        <f>+C230</f>
        <v>1 CP Peak</v>
      </c>
      <c r="H228" s="1572" t="s">
        <v>483</v>
      </c>
      <c r="I228" s="1573"/>
      <c r="J228" s="1573"/>
      <c r="K228" s="1573"/>
      <c r="L228" s="1573"/>
      <c r="M228" s="1573"/>
      <c r="N228" s="1573"/>
      <c r="O228" s="1573"/>
      <c r="P228" s="1573"/>
      <c r="Q228" s="1628"/>
    </row>
    <row r="229" spans="1:17" ht="15.75" customHeight="1">
      <c r="A229" s="201"/>
      <c r="B229" s="178" t="s">
        <v>438</v>
      </c>
      <c r="C229" s="138"/>
      <c r="D229" s="138"/>
      <c r="E229" s="139"/>
      <c r="F229" s="198"/>
      <c r="G229" s="284"/>
      <c r="H229" s="99"/>
      <c r="I229" s="99"/>
      <c r="J229" s="99"/>
      <c r="K229" s="99"/>
      <c r="L229" s="99"/>
      <c r="M229" s="99"/>
      <c r="N229" s="99"/>
      <c r="O229" s="99"/>
      <c r="P229" s="99"/>
      <c r="Q229" s="282"/>
    </row>
    <row r="230" spans="1:17" ht="16.5" customHeight="1" thickBot="1">
      <c r="A230" s="254">
        <v>172</v>
      </c>
      <c r="B230" s="255"/>
      <c r="C230" s="256" t="str">
        <f>'Exh F - AA-BL Items'!C272</f>
        <v>1 CP Peak</v>
      </c>
      <c r="D230" s="261"/>
      <c r="E230" s="257" t="str">
        <f>'Exh F - AA-BL Items'!E272</f>
        <v>(Note L)</v>
      </c>
      <c r="F230" s="258" t="str">
        <f>'Exh F - AA-BL Items'!F272</f>
        <v>PJM Data</v>
      </c>
      <c r="G230" s="912"/>
      <c r="H230" s="1567" t="s">
        <v>44</v>
      </c>
      <c r="I230" s="1568"/>
      <c r="J230" s="1568"/>
      <c r="K230" s="1568"/>
      <c r="L230" s="1568"/>
      <c r="M230" s="1568"/>
      <c r="N230" s="1568"/>
      <c r="O230" s="1568"/>
      <c r="P230" s="1568"/>
      <c r="Q230" s="1607"/>
    </row>
    <row r="231" spans="1:17" ht="12.75" customHeight="1">
      <c r="G231" s="97"/>
      <c r="H231" s="97"/>
      <c r="I231" s="97"/>
      <c r="J231" s="97"/>
      <c r="K231" s="97"/>
      <c r="L231" s="97"/>
      <c r="M231" s="97"/>
      <c r="N231" s="97"/>
      <c r="O231" s="97"/>
      <c r="P231" s="97"/>
      <c r="Q231" s="97"/>
    </row>
    <row r="232" spans="1:17" ht="12.75" customHeight="1">
      <c r="G232" s="97"/>
      <c r="H232" s="97"/>
      <c r="I232" s="97"/>
      <c r="J232" s="97"/>
      <c r="K232" s="97"/>
      <c r="L232" s="97"/>
      <c r="M232" s="97"/>
      <c r="N232" s="97"/>
      <c r="O232" s="97"/>
      <c r="P232" s="97"/>
      <c r="Q232" s="97"/>
    </row>
    <row r="233" spans="1:17" ht="21.25" customHeight="1" thickBot="1">
      <c r="A233" s="264" t="s">
        <v>489</v>
      </c>
      <c r="F233" s="483"/>
      <c r="G233" s="97"/>
      <c r="H233" s="97"/>
      <c r="I233" s="97"/>
      <c r="J233" s="97"/>
      <c r="K233" s="97"/>
      <c r="L233" s="97"/>
      <c r="M233" s="97"/>
      <c r="N233" s="97"/>
      <c r="O233" s="97"/>
      <c r="P233" s="97"/>
      <c r="Q233" s="97"/>
    </row>
    <row r="234" spans="1:17" ht="18" customHeight="1">
      <c r="A234" s="617"/>
      <c r="B234" s="618"/>
      <c r="C234" s="308" t="s">
        <v>490</v>
      </c>
      <c r="D234" s="308" t="s">
        <v>491</v>
      </c>
      <c r="E234" s="308" t="s">
        <v>492</v>
      </c>
      <c r="F234" s="308" t="s">
        <v>493</v>
      </c>
      <c r="G234" s="1589" t="s">
        <v>494</v>
      </c>
      <c r="H234" s="1590"/>
      <c r="I234" s="1591" t="s">
        <v>495</v>
      </c>
      <c r="J234" s="1590"/>
      <c r="K234" s="1591" t="s">
        <v>496</v>
      </c>
      <c r="L234" s="1590"/>
      <c r="M234" s="300"/>
      <c r="N234" s="300"/>
      <c r="O234" s="300"/>
      <c r="P234" s="300"/>
      <c r="Q234" s="301"/>
    </row>
    <row r="235" spans="1:17" ht="15.75" customHeight="1">
      <c r="A235" s="201"/>
      <c r="B235" s="157"/>
      <c r="C235" s="182" t="s">
        <v>42</v>
      </c>
      <c r="D235" s="913"/>
      <c r="E235" s="914"/>
      <c r="F235" s="678">
        <f>+'ATT H-2A'!H312</f>
        <v>0</v>
      </c>
      <c r="G235" s="1638">
        <f>+D235*E235</f>
        <v>0</v>
      </c>
      <c r="H235" s="1639"/>
      <c r="I235" s="1640">
        <f>+F235*'ATT H-2A'!H309</f>
        <v>0</v>
      </c>
      <c r="J235" s="1639"/>
      <c r="K235" s="1640">
        <f>+I235-G235</f>
        <v>0</v>
      </c>
      <c r="L235" s="1639"/>
      <c r="M235" s="302"/>
      <c r="N235" s="302"/>
      <c r="O235" s="302"/>
      <c r="P235" s="302"/>
      <c r="Q235" s="303"/>
    </row>
    <row r="236" spans="1:17" ht="15.75" customHeight="1">
      <c r="A236" s="201"/>
      <c r="B236" s="182"/>
      <c r="C236" s="182"/>
      <c r="D236" s="182"/>
      <c r="E236" s="468"/>
      <c r="F236" s="309"/>
      <c r="G236" s="1638">
        <f>+E236*D236*(151/365)</f>
        <v>0</v>
      </c>
      <c r="H236" s="1639"/>
      <c r="I236" s="1641"/>
      <c r="J236" s="1642"/>
      <c r="K236" s="1641"/>
      <c r="L236" s="1643"/>
      <c r="M236" s="304"/>
      <c r="N236" s="304"/>
      <c r="O236" s="304"/>
      <c r="P236" s="304"/>
      <c r="Q236" s="305"/>
    </row>
    <row r="237" spans="1:17" ht="15.75" customHeight="1">
      <c r="A237" s="201"/>
      <c r="B237" s="182"/>
      <c r="C237" s="182"/>
      <c r="D237" s="182"/>
      <c r="E237" s="309"/>
      <c r="F237" s="309"/>
      <c r="G237" s="311"/>
      <c r="H237" s="730"/>
      <c r="I237" s="310"/>
      <c r="J237" s="625"/>
      <c r="K237" s="310"/>
      <c r="L237" s="625"/>
      <c r="M237" s="304"/>
      <c r="N237" s="304"/>
      <c r="O237" s="304"/>
      <c r="P237" s="304"/>
      <c r="Q237" s="305"/>
    </row>
    <row r="238" spans="1:17" ht="16.5" customHeight="1" thickBot="1">
      <c r="A238" s="254"/>
      <c r="B238" s="259"/>
      <c r="C238" s="259" t="s">
        <v>292</v>
      </c>
      <c r="D238" s="259"/>
      <c r="E238" s="267"/>
      <c r="F238" s="259"/>
      <c r="G238" s="1635">
        <f>SUM(G235:H237)</f>
        <v>0</v>
      </c>
      <c r="H238" s="1636"/>
      <c r="I238" s="1637">
        <f>SUM(I235:J237)</f>
        <v>0</v>
      </c>
      <c r="J238" s="1636"/>
      <c r="K238" s="1637">
        <f>SUM(K235:L237)</f>
        <v>0</v>
      </c>
      <c r="L238" s="1636"/>
      <c r="M238" s="306"/>
      <c r="N238" s="306"/>
      <c r="O238" s="306"/>
      <c r="P238" s="306"/>
      <c r="Q238" s="307"/>
    </row>
    <row r="239" spans="1:17" ht="12.75" customHeight="1">
      <c r="G239" s="97"/>
      <c r="H239" s="97"/>
      <c r="I239" s="97"/>
      <c r="J239" s="97"/>
      <c r="K239" s="97"/>
      <c r="L239" s="97"/>
      <c r="M239" s="97"/>
      <c r="N239" s="97"/>
      <c r="O239" s="97"/>
      <c r="P239" s="97"/>
      <c r="Q239" s="97"/>
    </row>
    <row r="240" spans="1:17" ht="13.5" thickBot="1">
      <c r="G240" s="97"/>
      <c r="H240" s="97"/>
      <c r="I240" s="97"/>
      <c r="J240" s="97"/>
      <c r="K240" s="97"/>
      <c r="L240" s="97"/>
      <c r="M240" s="97"/>
      <c r="N240" s="97"/>
      <c r="O240" s="97"/>
      <c r="P240" s="97"/>
      <c r="Q240" s="97"/>
    </row>
    <row r="241" spans="1:19" ht="18.5" thickBot="1">
      <c r="A241" s="1586" t="s">
        <v>759</v>
      </c>
      <c r="B241" s="1587"/>
      <c r="C241" s="1587"/>
      <c r="D241" s="1587"/>
      <c r="E241" s="1587"/>
      <c r="F241" s="1588"/>
      <c r="G241" s="1589"/>
      <c r="H241" s="1590"/>
      <c r="I241" s="1591"/>
      <c r="J241" s="1590"/>
      <c r="K241" s="1591"/>
      <c r="L241" s="1590"/>
      <c r="M241" s="300"/>
      <c r="N241" s="300"/>
      <c r="O241" s="300"/>
      <c r="P241" s="300"/>
      <c r="Q241" s="301"/>
    </row>
    <row r="242" spans="1:19" ht="40">
      <c r="A242" s="1569" t="s">
        <v>10</v>
      </c>
      <c r="B242" s="1570"/>
      <c r="C242" s="1570"/>
      <c r="D242" s="1570"/>
      <c r="E242" s="1570"/>
      <c r="F242" s="1571"/>
      <c r="G242" s="744" t="s">
        <v>760</v>
      </c>
      <c r="H242" s="744" t="s">
        <v>761</v>
      </c>
      <c r="I242" s="744" t="s">
        <v>762</v>
      </c>
      <c r="J242" s="744" t="s">
        <v>763</v>
      </c>
      <c r="K242" s="1572" t="s">
        <v>764</v>
      </c>
      <c r="L242" s="1595"/>
      <c r="M242" s="1595"/>
      <c r="N242" s="1595"/>
      <c r="O242" s="1595"/>
      <c r="P242" s="1595"/>
      <c r="Q242" s="1596"/>
    </row>
    <row r="243" spans="1:19" ht="18">
      <c r="A243" s="747"/>
      <c r="B243" s="746"/>
      <c r="C243" s="746"/>
      <c r="D243" s="746"/>
      <c r="E243" s="746"/>
      <c r="F243" s="748"/>
      <c r="G243" s="745"/>
      <c r="H243" s="745"/>
      <c r="I243" s="745"/>
      <c r="J243" s="749"/>
      <c r="K243" s="749"/>
      <c r="L243" s="749"/>
      <c r="M243" s="749"/>
      <c r="N243" s="749"/>
      <c r="O243" s="749"/>
      <c r="P243" s="749"/>
      <c r="Q243" s="750"/>
    </row>
    <row r="244" spans="1:19" ht="26.25" customHeight="1">
      <c r="A244" s="201" t="s">
        <v>754</v>
      </c>
      <c r="B244" s="182"/>
      <c r="C244" s="165" t="s">
        <v>269</v>
      </c>
      <c r="D244" s="164"/>
      <c r="E244" s="224"/>
      <c r="F244" s="751" t="s">
        <v>765</v>
      </c>
      <c r="G244" s="1496">
        <v>191181895</v>
      </c>
      <c r="H244" s="1496">
        <v>33217165</v>
      </c>
      <c r="I244" s="1497">
        <v>4411902.5517151766</v>
      </c>
      <c r="J244" s="1497">
        <v>4336381.1244351333</v>
      </c>
      <c r="K244" s="1597" t="s">
        <v>1582</v>
      </c>
      <c r="L244" s="1598"/>
      <c r="M244" s="1598"/>
      <c r="N244" s="1598"/>
      <c r="O244" s="1598"/>
      <c r="P244" s="1598"/>
      <c r="Q244" s="1599"/>
    </row>
    <row r="245" spans="1:19" ht="16" thickBot="1">
      <c r="A245" s="254"/>
      <c r="B245" s="259"/>
      <c r="C245" s="266"/>
      <c r="D245" s="726"/>
      <c r="E245" s="726"/>
      <c r="F245" s="268"/>
      <c r="G245" s="334"/>
      <c r="H245" s="334"/>
      <c r="I245" s="752"/>
      <c r="J245" s="283"/>
      <c r="K245" s="283"/>
      <c r="L245" s="283"/>
      <c r="M245" s="283"/>
      <c r="N245" s="283"/>
      <c r="O245" s="283"/>
      <c r="P245" s="283"/>
      <c r="Q245" s="290"/>
    </row>
    <row r="246" spans="1:19" ht="13">
      <c r="G246" s="97"/>
      <c r="H246" s="97"/>
      <c r="I246" s="97"/>
      <c r="J246" s="97"/>
      <c r="K246" s="97"/>
      <c r="L246" s="97"/>
      <c r="M246" s="97"/>
      <c r="N246" s="97"/>
      <c r="O246" s="97"/>
      <c r="P246" s="97"/>
      <c r="Q246" s="97"/>
    </row>
    <row r="247" spans="1:19" ht="13.5" thickBot="1">
      <c r="G247" s="97"/>
      <c r="H247" s="97"/>
      <c r="I247" s="97"/>
      <c r="J247" s="97"/>
      <c r="K247" s="97"/>
      <c r="L247" s="97"/>
      <c r="M247" s="97"/>
      <c r="N247" s="97"/>
      <c r="O247" s="97"/>
      <c r="P247" s="97"/>
      <c r="Q247" s="97"/>
    </row>
    <row r="248" spans="1:19" customFormat="1" ht="18.5" thickBot="1">
      <c r="A248" s="814" t="s">
        <v>945</v>
      </c>
      <c r="B248" s="857"/>
      <c r="C248" s="857"/>
      <c r="D248" s="857"/>
      <c r="E248" s="857"/>
      <c r="F248" s="857"/>
      <c r="G248" s="857"/>
      <c r="H248" s="857"/>
      <c r="I248" s="857"/>
      <c r="J248" s="858"/>
      <c r="K248" s="858"/>
      <c r="L248" s="858"/>
      <c r="M248" s="858"/>
      <c r="N248" s="858"/>
      <c r="O248" s="858"/>
      <c r="P248" s="858"/>
      <c r="Q248" s="859"/>
      <c r="R248" s="292"/>
      <c r="S248" s="292"/>
    </row>
    <row r="249" spans="1:19" s="815" customFormat="1" ht="14">
      <c r="A249" s="1307"/>
      <c r="B249" s="1308"/>
      <c r="C249" s="1309"/>
      <c r="D249" s="1308"/>
      <c r="E249" s="1310"/>
      <c r="F249" s="1310"/>
      <c r="G249" s="861"/>
      <c r="H249" s="860" t="s">
        <v>348</v>
      </c>
      <c r="I249" s="861"/>
      <c r="J249" s="1311"/>
      <c r="K249" s="861"/>
      <c r="L249" s="1312"/>
      <c r="M249" s="1308"/>
      <c r="N249" s="862"/>
      <c r="O249" s="862"/>
      <c r="P249" s="862"/>
      <c r="Q249" s="863"/>
    </row>
    <row r="250" spans="1:19" s="815" customFormat="1" ht="14">
      <c r="A250" s="1307"/>
      <c r="B250" s="1313"/>
      <c r="C250" s="1308"/>
      <c r="D250" s="1314"/>
      <c r="E250" s="1315"/>
      <c r="F250" s="1315"/>
      <c r="G250" s="861"/>
      <c r="H250" s="860" t="s">
        <v>410</v>
      </c>
      <c r="I250" s="860"/>
      <c r="J250" s="860" t="s">
        <v>783</v>
      </c>
      <c r="K250" s="861"/>
      <c r="L250" s="1316"/>
      <c r="M250" s="1316"/>
      <c r="N250" s="864"/>
      <c r="O250" s="864"/>
      <c r="P250" s="864"/>
      <c r="Q250" s="865"/>
    </row>
    <row r="251" spans="1:19" s="815" customFormat="1" ht="14">
      <c r="A251" s="1317" t="s">
        <v>841</v>
      </c>
      <c r="B251" s="1313"/>
      <c r="C251" s="1318" t="s">
        <v>784</v>
      </c>
      <c r="D251" s="1314"/>
      <c r="E251" s="1315"/>
      <c r="F251" s="1319" t="s">
        <v>785</v>
      </c>
      <c r="G251" s="861"/>
      <c r="H251" s="866" t="s">
        <v>786</v>
      </c>
      <c r="I251" s="860"/>
      <c r="J251" s="866" t="s">
        <v>1470</v>
      </c>
      <c r="K251" s="861"/>
      <c r="L251" s="866" t="s">
        <v>1383</v>
      </c>
      <c r="M251" s="1316"/>
      <c r="N251" s="864"/>
      <c r="O251" s="864"/>
      <c r="P251" s="864"/>
      <c r="Q251" s="865"/>
    </row>
    <row r="252" spans="1:19" s="815" customFormat="1" ht="14">
      <c r="A252" s="1307"/>
      <c r="B252" s="1313"/>
      <c r="C252" s="1320"/>
      <c r="D252" s="1314"/>
      <c r="E252" s="1315"/>
      <c r="F252" s="1315"/>
      <c r="G252" s="861"/>
      <c r="H252" s="860"/>
      <c r="I252" s="860"/>
      <c r="J252" s="860"/>
      <c r="K252" s="861"/>
      <c r="L252" s="867"/>
      <c r="M252" s="1316"/>
      <c r="N252" s="864"/>
      <c r="O252" s="864"/>
      <c r="P252" s="864"/>
      <c r="Q252" s="865"/>
    </row>
    <row r="253" spans="1:19" s="815" customFormat="1" ht="14">
      <c r="A253" s="1307" t="str">
        <f>'ATT H-2A'!A245</f>
        <v>136a</v>
      </c>
      <c r="B253" s="1308"/>
      <c r="C253" s="1359" t="s">
        <v>787</v>
      </c>
      <c r="D253" s="1308"/>
      <c r="E253" s="1310"/>
      <c r="F253" s="1310" t="s">
        <v>946</v>
      </c>
      <c r="G253" s="861"/>
      <c r="H253" s="868">
        <v>2964375</v>
      </c>
      <c r="I253" s="869" t="s">
        <v>451</v>
      </c>
      <c r="J253" s="1321">
        <f>'ATT H-2A'!H234</f>
        <v>0.27517499999999995</v>
      </c>
      <c r="K253" s="870" t="s">
        <v>788</v>
      </c>
      <c r="L253" s="871">
        <f>H253*J253</f>
        <v>815721.89062499988</v>
      </c>
      <c r="M253" s="872"/>
      <c r="N253" s="864"/>
      <c r="O253" s="872"/>
      <c r="P253" s="864"/>
      <c r="Q253" s="873"/>
    </row>
    <row r="254" spans="1:19" s="815" customFormat="1" ht="14">
      <c r="A254" s="1307"/>
      <c r="B254" s="1308"/>
      <c r="C254" s="1309" t="s">
        <v>975</v>
      </c>
      <c r="D254" s="1308"/>
      <c r="E254" s="1310"/>
      <c r="F254" s="1310"/>
      <c r="G254" s="861"/>
      <c r="H254" s="861"/>
      <c r="I254" s="861"/>
      <c r="J254" s="861"/>
      <c r="K254" s="861"/>
      <c r="L254" s="871"/>
      <c r="M254" s="1316"/>
      <c r="N254" s="864"/>
      <c r="O254" s="864"/>
      <c r="P254" s="864"/>
      <c r="Q254" s="865"/>
    </row>
    <row r="255" spans="1:19" s="815" customFormat="1" ht="14">
      <c r="A255" s="1307" t="str">
        <f>'ATT H-2A'!A246</f>
        <v>136b</v>
      </c>
      <c r="B255" s="1308"/>
      <c r="C255" s="1358" t="s">
        <v>970</v>
      </c>
      <c r="D255" s="1308"/>
      <c r="E255" s="1310"/>
      <c r="F255" s="1310" t="s">
        <v>947</v>
      </c>
      <c r="G255" s="861"/>
      <c r="H255" s="861"/>
      <c r="I255" s="861"/>
      <c r="J255" s="861"/>
      <c r="K255" s="861"/>
      <c r="L255" s="1188">
        <f>-'1E - EDIT Amortization'!O109</f>
        <v>-9715279</v>
      </c>
      <c r="M255" s="874"/>
      <c r="N255" s="864"/>
      <c r="O255" s="874"/>
      <c r="P255" s="864"/>
      <c r="Q255" s="875"/>
    </row>
    <row r="256" spans="1:19" s="815" customFormat="1" ht="14">
      <c r="A256" s="1307" t="str">
        <f>'ATT H-2A'!A247</f>
        <v>136c</v>
      </c>
      <c r="B256" s="1308"/>
      <c r="C256" s="1358" t="s">
        <v>971</v>
      </c>
      <c r="D256" s="1308"/>
      <c r="E256" s="1310"/>
      <c r="F256" s="1310" t="s">
        <v>947</v>
      </c>
      <c r="G256" s="861"/>
      <c r="H256" s="861"/>
      <c r="I256" s="861"/>
      <c r="J256" s="861"/>
      <c r="K256" s="861"/>
      <c r="L256" s="1188">
        <f>-'1E - EDIT Amortization'!O214</f>
        <v>0</v>
      </c>
      <c r="M256" s="874"/>
      <c r="N256" s="864"/>
      <c r="O256" s="874"/>
      <c r="P256" s="864"/>
      <c r="Q256" s="875"/>
    </row>
    <row r="257" spans="1:17" s="815" customFormat="1" ht="14">
      <c r="A257" s="1307" t="str">
        <f>'ATT H-2A'!A248</f>
        <v>136d</v>
      </c>
      <c r="B257" s="1308"/>
      <c r="C257" s="1309" t="s">
        <v>789</v>
      </c>
      <c r="D257" s="1308"/>
      <c r="E257" s="1310"/>
      <c r="F257" s="1310" t="s">
        <v>948</v>
      </c>
      <c r="G257" s="861"/>
      <c r="H257" s="861"/>
      <c r="I257" s="861"/>
      <c r="J257" s="861"/>
      <c r="K257" s="861"/>
      <c r="L257" s="1188">
        <f>453192</f>
        <v>453192</v>
      </c>
      <c r="M257" s="1316"/>
      <c r="N257" s="864"/>
      <c r="O257" s="864"/>
      <c r="P257" s="864"/>
      <c r="Q257" s="865"/>
    </row>
    <row r="258" spans="1:17" s="815" customFormat="1" ht="14.5" thickBot="1">
      <c r="A258" s="1307" t="str">
        <f>'ATT H-2A'!A249</f>
        <v>136e</v>
      </c>
      <c r="B258" s="1308"/>
      <c r="C258" s="1322" t="s">
        <v>949</v>
      </c>
      <c r="D258" s="1308"/>
      <c r="E258" s="1310"/>
      <c r="F258" s="1310" t="s">
        <v>1384</v>
      </c>
      <c r="G258" s="861"/>
      <c r="H258" s="861"/>
      <c r="I258" s="861"/>
      <c r="J258" s="861"/>
      <c r="K258" s="861"/>
      <c r="L258" s="876">
        <f>SUM(L253:L257)</f>
        <v>-8446365.109375</v>
      </c>
      <c r="M258" s="1316"/>
      <c r="N258" s="864"/>
      <c r="O258" s="864"/>
      <c r="P258" s="864"/>
      <c r="Q258" s="865"/>
    </row>
    <row r="259" spans="1:17" s="815" customFormat="1" ht="14.5" thickTop="1">
      <c r="A259" s="1307"/>
      <c r="B259" s="1308"/>
      <c r="C259" s="1309"/>
      <c r="D259" s="1308"/>
      <c r="E259" s="1310"/>
      <c r="F259" s="1310"/>
      <c r="G259" s="861"/>
      <c r="H259" s="861"/>
      <c r="I259" s="861"/>
      <c r="J259" s="861"/>
      <c r="K259" s="871"/>
      <c r="L259" s="1308"/>
      <c r="M259" s="1316"/>
      <c r="N259" s="864"/>
      <c r="O259" s="864"/>
      <c r="P259" s="864"/>
      <c r="Q259" s="865"/>
    </row>
    <row r="260" spans="1:17" s="815" customFormat="1" ht="14">
      <c r="A260" s="1323" t="s">
        <v>790</v>
      </c>
      <c r="B260" s="1308"/>
      <c r="C260" s="1318" t="s">
        <v>791</v>
      </c>
      <c r="D260" s="1320"/>
      <c r="E260" s="1320"/>
      <c r="F260" s="1310"/>
      <c r="G260" s="861"/>
      <c r="H260" s="861"/>
      <c r="I260" s="1311"/>
      <c r="J260" s="861"/>
      <c r="K260" s="1312"/>
      <c r="L260" s="1308"/>
      <c r="M260" s="1316"/>
      <c r="N260" s="864"/>
      <c r="O260" s="864"/>
      <c r="P260" s="864"/>
      <c r="Q260" s="865"/>
    </row>
    <row r="261" spans="1:17" s="815" customFormat="1" ht="15" customHeight="1">
      <c r="A261" s="1324" t="s">
        <v>792</v>
      </c>
      <c r="B261" s="1308"/>
      <c r="C261" s="1592" t="s">
        <v>1385</v>
      </c>
      <c r="D261" s="1592"/>
      <c r="E261" s="1592"/>
      <c r="F261" s="1592"/>
      <c r="G261" s="861"/>
      <c r="H261" s="861"/>
      <c r="I261" s="1311"/>
      <c r="J261" s="861"/>
      <c r="K261" s="1312"/>
      <c r="L261" s="1308"/>
      <c r="M261" s="1308"/>
      <c r="N261" s="862"/>
      <c r="O261" s="862"/>
      <c r="P261" s="862"/>
      <c r="Q261" s="863"/>
    </row>
    <row r="262" spans="1:17" s="815" customFormat="1" ht="15" customHeight="1">
      <c r="A262" s="1324"/>
      <c r="B262" s="1308"/>
      <c r="C262" s="1592"/>
      <c r="D262" s="1592"/>
      <c r="E262" s="1592"/>
      <c r="F262" s="1592"/>
      <c r="G262" s="861"/>
      <c r="H262" s="861"/>
      <c r="I262" s="1311"/>
      <c r="J262" s="861"/>
      <c r="K262" s="1312"/>
      <c r="L262" s="1308"/>
      <c r="M262" s="1308"/>
      <c r="N262" s="862"/>
      <c r="O262" s="862"/>
      <c r="P262" s="862"/>
      <c r="Q262" s="863"/>
    </row>
    <row r="263" spans="1:17" s="815" customFormat="1" ht="14">
      <c r="A263" s="1324" t="s">
        <v>793</v>
      </c>
      <c r="B263" s="1308"/>
      <c r="C263" s="1592" t="s">
        <v>794</v>
      </c>
      <c r="D263" s="1592"/>
      <c r="E263" s="1592"/>
      <c r="F263" s="1592"/>
      <c r="G263" s="861"/>
      <c r="H263" s="861"/>
      <c r="I263" s="1311"/>
      <c r="J263" s="861"/>
      <c r="K263" s="1312"/>
      <c r="L263" s="1308"/>
      <c r="M263" s="1308"/>
      <c r="N263" s="862"/>
      <c r="O263" s="862"/>
      <c r="P263" s="862"/>
      <c r="Q263" s="863"/>
    </row>
    <row r="264" spans="1:17" s="815" customFormat="1" ht="15" customHeight="1">
      <c r="A264" s="1324" t="s">
        <v>795</v>
      </c>
      <c r="B264" s="1308"/>
      <c r="C264" s="1593" t="s">
        <v>1386</v>
      </c>
      <c r="D264" s="1593"/>
      <c r="E264" s="1593"/>
      <c r="F264" s="1593"/>
      <c r="G264" s="861"/>
      <c r="H264" s="861" t="s">
        <v>154</v>
      </c>
      <c r="I264" s="1311"/>
      <c r="J264" s="861"/>
      <c r="K264" s="1312"/>
      <c r="L264" s="1308"/>
      <c r="M264" s="1308"/>
      <c r="N264" s="862"/>
      <c r="O264" s="862"/>
      <c r="P264" s="862"/>
      <c r="Q264" s="863"/>
    </row>
    <row r="265" spans="1:17" s="815" customFormat="1" ht="15" customHeight="1">
      <c r="A265" s="1324"/>
      <c r="B265" s="1308"/>
      <c r="C265" s="1593"/>
      <c r="D265" s="1593"/>
      <c r="E265" s="1593"/>
      <c r="F265" s="1593"/>
      <c r="G265" s="861"/>
      <c r="H265" s="861"/>
      <c r="I265" s="1311"/>
      <c r="J265" s="861"/>
      <c r="K265" s="1312"/>
      <c r="L265" s="1308"/>
      <c r="M265" s="1308"/>
      <c r="N265" s="862"/>
      <c r="O265" s="862"/>
      <c r="P265" s="862"/>
      <c r="Q265" s="863"/>
    </row>
    <row r="266" spans="1:17" s="815" customFormat="1" ht="14">
      <c r="A266" s="1324" t="s">
        <v>796</v>
      </c>
      <c r="B266" s="1308"/>
      <c r="C266" s="1594" t="s">
        <v>1387</v>
      </c>
      <c r="D266" s="1594"/>
      <c r="E266" s="1594"/>
      <c r="F266" s="1594"/>
      <c r="G266" s="1594"/>
      <c r="H266" s="1594"/>
      <c r="I266" s="1594"/>
      <c r="J266" s="1594"/>
      <c r="K266" s="1312"/>
      <c r="L266" s="1308"/>
      <c r="M266" s="1308"/>
      <c r="N266" s="862"/>
      <c r="O266" s="862"/>
      <c r="P266" s="862"/>
      <c r="Q266" s="863"/>
    </row>
    <row r="267" spans="1:17" s="815" customFormat="1" ht="15" customHeight="1">
      <c r="A267" s="1324"/>
      <c r="B267" s="1308"/>
      <c r="C267" s="1594"/>
      <c r="D267" s="1594"/>
      <c r="E267" s="1594"/>
      <c r="F267" s="1594"/>
      <c r="G267" s="1594"/>
      <c r="H267" s="1594"/>
      <c r="I267" s="1594"/>
      <c r="J267" s="1594"/>
      <c r="K267" s="1312"/>
      <c r="L267" s="1308"/>
      <c r="M267" s="1308"/>
      <c r="N267" s="862"/>
      <c r="O267" s="862"/>
      <c r="P267" s="862"/>
      <c r="Q267" s="863"/>
    </row>
    <row r="268" spans="1:17" s="815" customFormat="1" ht="14">
      <c r="A268" s="1324"/>
      <c r="B268" s="1308"/>
      <c r="C268" s="1594"/>
      <c r="D268" s="1594"/>
      <c r="E268" s="1594"/>
      <c r="F268" s="1594"/>
      <c r="G268" s="1594"/>
      <c r="H268" s="1594"/>
      <c r="I268" s="1594"/>
      <c r="J268" s="1594"/>
      <c r="K268" s="1312"/>
      <c r="L268" s="1308"/>
      <c r="M268" s="1308"/>
      <c r="N268" s="862"/>
      <c r="O268" s="862"/>
      <c r="P268" s="862"/>
      <c r="Q268" s="863"/>
    </row>
    <row r="269" spans="1:17" s="815" customFormat="1" ht="14">
      <c r="A269" s="1324"/>
      <c r="B269" s="1308"/>
      <c r="C269" s="1594"/>
      <c r="D269" s="1594"/>
      <c r="E269" s="1594"/>
      <c r="F269" s="1594"/>
      <c r="G269" s="1594"/>
      <c r="H269" s="1594"/>
      <c r="I269" s="1594"/>
      <c r="J269" s="1594"/>
      <c r="K269" s="1312"/>
      <c r="L269" s="1308"/>
      <c r="M269" s="1308"/>
      <c r="N269" s="862"/>
      <c r="O269" s="862"/>
      <c r="P269" s="862"/>
      <c r="Q269" s="863"/>
    </row>
    <row r="270" spans="1:17" s="815" customFormat="1" ht="14">
      <c r="A270" s="1324"/>
      <c r="B270" s="1308"/>
      <c r="C270" s="1594"/>
      <c r="D270" s="1594"/>
      <c r="E270" s="1594"/>
      <c r="F270" s="1594"/>
      <c r="G270" s="1594"/>
      <c r="H270" s="1594"/>
      <c r="I270" s="1594"/>
      <c r="J270" s="1594"/>
      <c r="K270" s="1312"/>
      <c r="L270" s="1308"/>
      <c r="M270" s="1308"/>
      <c r="N270" s="862"/>
      <c r="O270" s="862"/>
      <c r="P270" s="862"/>
      <c r="Q270" s="863"/>
    </row>
    <row r="271" spans="1:17" s="815" customFormat="1" ht="14">
      <c r="A271" s="1324" t="s">
        <v>797</v>
      </c>
      <c r="B271" s="1308"/>
      <c r="C271" s="1594" t="s">
        <v>1388</v>
      </c>
      <c r="D271" s="1594"/>
      <c r="E271" s="1594"/>
      <c r="F271" s="1594"/>
      <c r="G271" s="861"/>
      <c r="H271" s="861"/>
      <c r="I271" s="1311"/>
      <c r="J271" s="861"/>
      <c r="K271" s="1312"/>
      <c r="L271" s="1308"/>
      <c r="M271" s="1308"/>
      <c r="N271" s="862"/>
      <c r="O271" s="862"/>
      <c r="P271" s="862"/>
      <c r="Q271" s="863"/>
    </row>
    <row r="272" spans="1:17" s="815" customFormat="1" ht="15" customHeight="1">
      <c r="A272" s="1324"/>
      <c r="B272" s="1308"/>
      <c r="C272" s="1594"/>
      <c r="D272" s="1594"/>
      <c r="E272" s="1594"/>
      <c r="F272" s="1594"/>
      <c r="G272" s="861"/>
      <c r="H272" s="861"/>
      <c r="I272" s="1311"/>
      <c r="J272" s="861"/>
      <c r="K272" s="1312"/>
      <c r="L272" s="1308"/>
      <c r="M272" s="1308"/>
      <c r="N272" s="862"/>
      <c r="O272" s="862"/>
      <c r="P272" s="862"/>
      <c r="Q272" s="863"/>
    </row>
    <row r="273" spans="1:17" s="815" customFormat="1" ht="14">
      <c r="A273" s="1324"/>
      <c r="B273" s="1308"/>
      <c r="C273" s="1594"/>
      <c r="D273" s="1594"/>
      <c r="E273" s="1594"/>
      <c r="F273" s="1594"/>
      <c r="G273" s="861"/>
      <c r="H273" s="861"/>
      <c r="I273" s="1311"/>
      <c r="J273" s="861"/>
      <c r="K273" s="1312"/>
      <c r="L273" s="1308"/>
      <c r="M273" s="1308"/>
      <c r="N273" s="862"/>
      <c r="O273" s="862"/>
      <c r="P273" s="862"/>
      <c r="Q273" s="863"/>
    </row>
    <row r="274" spans="1:17" s="815" customFormat="1" ht="14">
      <c r="A274" s="1324"/>
      <c r="B274" s="1308"/>
      <c r="C274" s="1594"/>
      <c r="D274" s="1594"/>
      <c r="E274" s="1594"/>
      <c r="F274" s="1594"/>
      <c r="G274" s="861"/>
      <c r="H274" s="861"/>
      <c r="I274" s="1311"/>
      <c r="J274" s="861"/>
      <c r="K274" s="1312"/>
      <c r="L274" s="1308"/>
      <c r="M274" s="1308"/>
      <c r="N274" s="862"/>
      <c r="O274" s="862"/>
      <c r="P274" s="862"/>
      <c r="Q274" s="863"/>
    </row>
    <row r="275" spans="1:17" s="815" customFormat="1" ht="14">
      <c r="A275" s="1324"/>
      <c r="B275" s="1308"/>
      <c r="C275" s="1594"/>
      <c r="D275" s="1594"/>
      <c r="E275" s="1594"/>
      <c r="F275" s="1594"/>
      <c r="G275" s="861"/>
      <c r="H275" s="861"/>
      <c r="I275" s="1311"/>
      <c r="J275" s="861"/>
      <c r="K275" s="1312"/>
      <c r="L275" s="1308"/>
      <c r="M275" s="1308"/>
      <c r="N275" s="862"/>
      <c r="O275" s="862"/>
      <c r="P275" s="862"/>
      <c r="Q275" s="863"/>
    </row>
    <row r="276" spans="1:17" s="815" customFormat="1" ht="14">
      <c r="A276" s="1324"/>
      <c r="B276" s="1308"/>
      <c r="C276" s="1594"/>
      <c r="D276" s="1594"/>
      <c r="E276" s="1594"/>
      <c r="F276" s="1594"/>
      <c r="G276" s="861"/>
      <c r="H276" s="861"/>
      <c r="I276" s="1311"/>
      <c r="J276" s="861"/>
      <c r="K276" s="1312"/>
      <c r="L276" s="1308"/>
      <c r="M276" s="1308"/>
      <c r="N276" s="862"/>
      <c r="O276" s="862"/>
      <c r="P276" s="862"/>
      <c r="Q276" s="863"/>
    </row>
    <row r="277" spans="1:17" s="815" customFormat="1" ht="14">
      <c r="A277" s="1324"/>
      <c r="B277" s="1308"/>
      <c r="C277" s="1594"/>
      <c r="D277" s="1594"/>
      <c r="E277" s="1594"/>
      <c r="F277" s="1594"/>
      <c r="G277" s="861"/>
      <c r="H277" s="861"/>
      <c r="I277" s="1311"/>
      <c r="J277" s="861"/>
      <c r="K277" s="1312"/>
      <c r="L277" s="1308"/>
      <c r="M277" s="1308"/>
      <c r="N277" s="862"/>
      <c r="O277" s="862"/>
      <c r="P277" s="862"/>
      <c r="Q277" s="863"/>
    </row>
    <row r="278" spans="1:17" s="815" customFormat="1" ht="14">
      <c r="A278" s="1324" t="s">
        <v>1389</v>
      </c>
      <c r="B278" s="1308"/>
      <c r="C278" s="1594" t="s">
        <v>1390</v>
      </c>
      <c r="D278" s="1594"/>
      <c r="E278" s="1594"/>
      <c r="F278" s="1594"/>
      <c r="G278" s="861"/>
      <c r="H278" s="861"/>
      <c r="I278" s="1311"/>
      <c r="J278" s="861"/>
      <c r="K278" s="1312"/>
      <c r="L278" s="1308"/>
      <c r="M278" s="1308"/>
      <c r="N278" s="862"/>
      <c r="O278" s="862"/>
      <c r="P278" s="862"/>
      <c r="Q278" s="863"/>
    </row>
    <row r="279" spans="1:17" s="815" customFormat="1" ht="14">
      <c r="A279" s="1324"/>
      <c r="B279" s="1308"/>
      <c r="C279" s="1594"/>
      <c r="D279" s="1594"/>
      <c r="E279" s="1594"/>
      <c r="F279" s="1594"/>
      <c r="G279" s="861"/>
      <c r="H279" s="861"/>
      <c r="I279" s="1311"/>
      <c r="J279" s="861"/>
      <c r="K279" s="1312"/>
      <c r="L279" s="1308"/>
      <c r="M279" s="1308"/>
      <c r="N279" s="862"/>
      <c r="O279" s="862"/>
      <c r="P279" s="862"/>
      <c r="Q279" s="863"/>
    </row>
    <row r="280" spans="1:17" s="815" customFormat="1" ht="14.5" thickBot="1">
      <c r="A280" s="893"/>
      <c r="B280" s="877"/>
      <c r="C280" s="1585"/>
      <c r="D280" s="1585"/>
      <c r="E280" s="1585"/>
      <c r="F280" s="1585"/>
      <c r="G280" s="878"/>
      <c r="H280" s="878"/>
      <c r="I280" s="879"/>
      <c r="J280" s="878"/>
      <c r="K280" s="880"/>
      <c r="L280" s="881"/>
      <c r="M280" s="881"/>
      <c r="N280" s="881"/>
      <c r="O280" s="881"/>
      <c r="P280" s="881"/>
      <c r="Q280" s="882"/>
    </row>
    <row r="281" spans="1:17" customFormat="1" ht="14">
      <c r="G281" s="292"/>
      <c r="H281" s="292"/>
      <c r="I281" s="292"/>
      <c r="J281" s="292"/>
      <c r="K281" s="292"/>
      <c r="L281" s="292"/>
      <c r="M281" s="292"/>
      <c r="N281" s="292"/>
      <c r="O281" s="292"/>
      <c r="P281" s="292"/>
      <c r="Q281" s="292"/>
    </row>
    <row r="282" spans="1:17" ht="14">
      <c r="G282" s="292"/>
      <c r="H282" s="292"/>
      <c r="I282" s="292"/>
      <c r="J282" s="292"/>
      <c r="K282" s="292"/>
      <c r="L282" s="292"/>
      <c r="M282" s="292"/>
      <c r="N282" s="292"/>
      <c r="O282" s="292"/>
      <c r="P282" s="292"/>
      <c r="Q282" s="292"/>
    </row>
    <row r="283" spans="1:17" ht="14">
      <c r="G283" s="292"/>
      <c r="H283" s="292"/>
      <c r="I283" s="292"/>
      <c r="J283" s="292"/>
      <c r="K283" s="292"/>
      <c r="L283" s="292"/>
      <c r="M283" s="292"/>
      <c r="N283" s="292"/>
      <c r="O283" s="292"/>
      <c r="P283" s="292"/>
      <c r="Q283" s="292"/>
    </row>
    <row r="284" spans="1:17" ht="14">
      <c r="G284" s="292"/>
      <c r="H284" s="292"/>
      <c r="I284" s="292"/>
      <c r="J284" s="292"/>
      <c r="K284" s="292"/>
      <c r="L284" s="292"/>
      <c r="M284" s="292"/>
      <c r="N284" s="292"/>
      <c r="O284" s="292"/>
      <c r="P284" s="292"/>
      <c r="Q284" s="292"/>
    </row>
    <row r="285" spans="1:17" ht="14">
      <c r="G285" s="292"/>
      <c r="H285" s="292"/>
      <c r="I285" s="292"/>
      <c r="J285" s="292"/>
      <c r="K285" s="292"/>
      <c r="L285" s="292"/>
      <c r="M285" s="292"/>
      <c r="N285" s="292"/>
      <c r="O285" s="292"/>
      <c r="P285" s="292"/>
      <c r="Q285" s="292"/>
    </row>
    <row r="286" spans="1:17" ht="14">
      <c r="G286" s="292"/>
      <c r="H286" s="292"/>
      <c r="I286" s="292"/>
      <c r="J286" s="292"/>
      <c r="K286" s="292"/>
      <c r="L286" s="292"/>
      <c r="M286" s="292"/>
      <c r="N286" s="292"/>
      <c r="O286" s="292"/>
      <c r="P286" s="292"/>
      <c r="Q286" s="292"/>
    </row>
    <row r="287" spans="1:17" ht="14">
      <c r="G287" s="292"/>
      <c r="H287" s="292"/>
      <c r="I287" s="292"/>
      <c r="J287" s="292"/>
      <c r="K287" s="292"/>
      <c r="L287" s="292"/>
      <c r="M287" s="292"/>
      <c r="N287" s="292"/>
      <c r="O287" s="292"/>
      <c r="P287" s="292"/>
      <c r="Q287" s="292"/>
    </row>
  </sheetData>
  <mergeCells count="149">
    <mergeCell ref="H175:Q175"/>
    <mergeCell ref="H176:Q176"/>
    <mergeCell ref="H181:Q181"/>
    <mergeCell ref="H173:Q173"/>
    <mergeCell ref="H171:Q171"/>
    <mergeCell ref="A205:F205"/>
    <mergeCell ref="H205:Q205"/>
    <mergeCell ref="H207:Q207"/>
    <mergeCell ref="H209:Q209"/>
    <mergeCell ref="H177:Q177"/>
    <mergeCell ref="H178:Q178"/>
    <mergeCell ref="H179:Q179"/>
    <mergeCell ref="H180:Q180"/>
    <mergeCell ref="A216:F216"/>
    <mergeCell ref="H211:Q211"/>
    <mergeCell ref="H210:Q210"/>
    <mergeCell ref="H216:Q216"/>
    <mergeCell ref="A222:F222"/>
    <mergeCell ref="J224:Q224"/>
    <mergeCell ref="G238:H238"/>
    <mergeCell ref="I238:J238"/>
    <mergeCell ref="K238:L238"/>
    <mergeCell ref="G235:H235"/>
    <mergeCell ref="I235:J235"/>
    <mergeCell ref="K235:L235"/>
    <mergeCell ref="G236:H236"/>
    <mergeCell ref="I236:J236"/>
    <mergeCell ref="K236:L236"/>
    <mergeCell ref="G234:H234"/>
    <mergeCell ref="I234:J234"/>
    <mergeCell ref="K234:L234"/>
    <mergeCell ref="H228:Q228"/>
    <mergeCell ref="H230:Q230"/>
    <mergeCell ref="H218:Q218"/>
    <mergeCell ref="J222:Q222"/>
    <mergeCell ref="J223:Q223"/>
    <mergeCell ref="A145:F145"/>
    <mergeCell ref="J145:Q145"/>
    <mergeCell ref="J151:Q151"/>
    <mergeCell ref="A155:F155"/>
    <mergeCell ref="J108:Q108"/>
    <mergeCell ref="A113:F113"/>
    <mergeCell ref="H113:Q113"/>
    <mergeCell ref="H118:Q118"/>
    <mergeCell ref="H120:Q120"/>
    <mergeCell ref="H121:Q121"/>
    <mergeCell ref="H122:Q122"/>
    <mergeCell ref="H123:Q123"/>
    <mergeCell ref="H139:Q139"/>
    <mergeCell ref="H140:Q140"/>
    <mergeCell ref="H132:Q132"/>
    <mergeCell ref="H134:Q134"/>
    <mergeCell ref="H135:Q135"/>
    <mergeCell ref="H136:Q136"/>
    <mergeCell ref="A75:F75"/>
    <mergeCell ref="A85:F85"/>
    <mergeCell ref="A80:F80"/>
    <mergeCell ref="J39:Q39"/>
    <mergeCell ref="J22:Q22"/>
    <mergeCell ref="J24:Q24"/>
    <mergeCell ref="J26:Q26"/>
    <mergeCell ref="A171:F171"/>
    <mergeCell ref="A228:F228"/>
    <mergeCell ref="J40:Q40"/>
    <mergeCell ref="J41:Q41"/>
    <mergeCell ref="J42:Q42"/>
    <mergeCell ref="J52:Q52"/>
    <mergeCell ref="A93:F93"/>
    <mergeCell ref="A99:F99"/>
    <mergeCell ref="J53:Q53"/>
    <mergeCell ref="L102:Q102"/>
    <mergeCell ref="J106:Q106"/>
    <mergeCell ref="H117:Q117"/>
    <mergeCell ref="H124:Q124"/>
    <mergeCell ref="H125:Q125"/>
    <mergeCell ref="A130:F130"/>
    <mergeCell ref="H130:Q130"/>
    <mergeCell ref="A164:F164"/>
    <mergeCell ref="A64:F64"/>
    <mergeCell ref="J64:Q64"/>
    <mergeCell ref="J69:Q69"/>
    <mergeCell ref="J66:Q66"/>
    <mergeCell ref="A6:F6"/>
    <mergeCell ref="J6:Q6"/>
    <mergeCell ref="J7:Q7"/>
    <mergeCell ref="J8:Q8"/>
    <mergeCell ref="J11:Q11"/>
    <mergeCell ref="J12:Q12"/>
    <mergeCell ref="J14:Q14"/>
    <mergeCell ref="J23:Q23"/>
    <mergeCell ref="J27:Q27"/>
    <mergeCell ref="J35:Q35"/>
    <mergeCell ref="J32:Q32"/>
    <mergeCell ref="J13:Q13"/>
    <mergeCell ref="A39:F39"/>
    <mergeCell ref="A52:F52"/>
    <mergeCell ref="J57:Q57"/>
    <mergeCell ref="J58:Q58"/>
    <mergeCell ref="J75:Q75"/>
    <mergeCell ref="J76:Q76"/>
    <mergeCell ref="J59:Q59"/>
    <mergeCell ref="J77:Q77"/>
    <mergeCell ref="J68:Q68"/>
    <mergeCell ref="U81:U102"/>
    <mergeCell ref="J61:Q61"/>
    <mergeCell ref="J85:Q85"/>
    <mergeCell ref="J89:Q89"/>
    <mergeCell ref="J93:Q93"/>
    <mergeCell ref="J80:Q80"/>
    <mergeCell ref="J81:Q81"/>
    <mergeCell ref="J82:Q82"/>
    <mergeCell ref="J95:Q95"/>
    <mergeCell ref="L99:Q99"/>
    <mergeCell ref="L101:Q101"/>
    <mergeCell ref="K241:L241"/>
    <mergeCell ref="A242:F242"/>
    <mergeCell ref="K242:Q242"/>
    <mergeCell ref="K244:Q244"/>
    <mergeCell ref="J9:Q9"/>
    <mergeCell ref="J10:Q10"/>
    <mergeCell ref="J15:Q15"/>
    <mergeCell ref="J16:Q16"/>
    <mergeCell ref="J30:Q30"/>
    <mergeCell ref="J31:Q31"/>
    <mergeCell ref="J33:Q33"/>
    <mergeCell ref="J54:Q54"/>
    <mergeCell ref="J17:Q17"/>
    <mergeCell ref="J19:Q19"/>
    <mergeCell ref="J21:Q21"/>
    <mergeCell ref="J18:Q18"/>
    <mergeCell ref="J34:Q34"/>
    <mergeCell ref="J20:Q20"/>
    <mergeCell ref="H115:Q115"/>
    <mergeCell ref="A106:F106"/>
    <mergeCell ref="H137:Q137"/>
    <mergeCell ref="H138:Q138"/>
    <mergeCell ref="J55:Q55"/>
    <mergeCell ref="J56:Q56"/>
    <mergeCell ref="C280:F280"/>
    <mergeCell ref="A241:F241"/>
    <mergeCell ref="G241:H241"/>
    <mergeCell ref="I241:J241"/>
    <mergeCell ref="C261:F262"/>
    <mergeCell ref="C263:F263"/>
    <mergeCell ref="C264:F265"/>
    <mergeCell ref="C266:F270"/>
    <mergeCell ref="G266:J270"/>
    <mergeCell ref="C271:F277"/>
    <mergeCell ref="C278:F279"/>
  </mergeCells>
  <phoneticPr fontId="0" type="noConversion"/>
  <printOptions horizontalCentered="1"/>
  <pageMargins left="0.25" right="0.25" top="0.75" bottom="0.75" header="0.5" footer="0.5"/>
  <pageSetup scale="43" fitToHeight="3" orientation="landscape" r:id="rId1"/>
  <headerFooter alignWithMargins="0">
    <oddHeader>&amp;R&amp;"Times New Roman,Bold"&amp;14Appendix A
Page &amp;P of &amp;N</oddHeader>
  </headerFooter>
  <rowBreaks count="2" manualBreakCount="2">
    <brk id="153" max="16" man="1"/>
    <brk id="23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6"/>
  <sheetViews>
    <sheetView topLeftCell="A16" workbookViewId="0">
      <selection activeCell="F49" sqref="F49"/>
    </sheetView>
  </sheetViews>
  <sheetFormatPr defaultColWidth="9.1796875" defaultRowHeight="12.5"/>
  <cols>
    <col min="1" max="1" width="23.7265625" style="473" customWidth="1"/>
    <col min="2" max="2" width="9.81640625" style="473" customWidth="1"/>
    <col min="3" max="3" width="9.1796875" style="473"/>
    <col min="4" max="4" width="13" style="473" customWidth="1"/>
    <col min="5" max="5" width="14.1796875" style="473" customWidth="1"/>
    <col min="6" max="16384" width="9.1796875" style="473"/>
  </cols>
  <sheetData>
    <row r="1" spans="1:10" ht="18">
      <c r="A1" s="1584" t="str">
        <f>'ATT H-2A'!A4</f>
        <v>Baltimore Gas and Electric Company</v>
      </c>
      <c r="B1" s="1561"/>
      <c r="C1" s="1561"/>
      <c r="D1" s="1561"/>
      <c r="E1" s="1561"/>
      <c r="F1" s="1561"/>
      <c r="G1" s="1561"/>
      <c r="H1" s="1561"/>
      <c r="I1" s="1561"/>
      <c r="J1" s="1561"/>
    </row>
    <row r="2" spans="1:10" ht="15.5">
      <c r="A2" s="318"/>
      <c r="B2" s="163"/>
      <c r="D2" s="84"/>
    </row>
    <row r="3" spans="1:10" ht="15.5">
      <c r="A3" s="1562" t="s">
        <v>562</v>
      </c>
      <c r="B3" s="1561"/>
      <c r="C3" s="1561"/>
      <c r="D3" s="1561"/>
      <c r="E3" s="1561"/>
      <c r="F3" s="1561"/>
      <c r="G3" s="1561"/>
      <c r="H3" s="1561"/>
      <c r="I3" s="1561"/>
      <c r="J3" s="1561"/>
    </row>
    <row r="8" spans="1:10" ht="13">
      <c r="A8" s="447" t="s">
        <v>729</v>
      </c>
    </row>
    <row r="9" spans="1:10" ht="13">
      <c r="A9" s="447" t="s">
        <v>730</v>
      </c>
    </row>
    <row r="12" spans="1:10">
      <c r="D12" s="704" t="s">
        <v>378</v>
      </c>
      <c r="E12" s="704" t="s">
        <v>378</v>
      </c>
      <c r="F12" s="490"/>
      <c r="G12" s="490"/>
    </row>
    <row r="13" spans="1:10">
      <c r="D13" s="704" t="s">
        <v>98</v>
      </c>
      <c r="E13" s="704" t="s">
        <v>98</v>
      </c>
      <c r="F13" s="490"/>
      <c r="G13" s="490"/>
    </row>
    <row r="14" spans="1:10">
      <c r="A14" s="473" t="s">
        <v>7</v>
      </c>
      <c r="D14" s="490" t="s">
        <v>99</v>
      </c>
      <c r="E14" s="490" t="s">
        <v>99</v>
      </c>
      <c r="F14" s="490"/>
      <c r="G14" s="490"/>
    </row>
    <row r="15" spans="1:10">
      <c r="D15" s="490" t="s">
        <v>100</v>
      </c>
      <c r="E15" s="490" t="s">
        <v>101</v>
      </c>
      <c r="F15" s="490"/>
      <c r="G15" s="490"/>
    </row>
    <row r="16" spans="1:10">
      <c r="F16" s="483"/>
      <c r="G16" s="483"/>
    </row>
    <row r="17" spans="1:9">
      <c r="B17" s="676"/>
    </row>
    <row r="19" spans="1:9">
      <c r="A19" s="473" t="s">
        <v>8</v>
      </c>
      <c r="D19" s="731">
        <v>110427535.62</v>
      </c>
      <c r="E19" s="731">
        <v>52685515.520000003</v>
      </c>
    </row>
    <row r="24" spans="1:9">
      <c r="A24" s="473" t="s">
        <v>102</v>
      </c>
    </row>
    <row r="25" spans="1:9">
      <c r="A25" s="473" t="s">
        <v>731</v>
      </c>
      <c r="B25" s="483"/>
      <c r="C25" s="483"/>
      <c r="D25" s="483"/>
      <c r="E25" s="483"/>
      <c r="F25" s="483"/>
      <c r="G25" s="483"/>
      <c r="H25" s="483"/>
      <c r="I25" s="483"/>
    </row>
    <row r="26" spans="1:9">
      <c r="A26" s="473" t="s">
        <v>732</v>
      </c>
      <c r="B26" s="483"/>
      <c r="C26" s="483"/>
      <c r="D26" s="483"/>
      <c r="E26" s="483"/>
      <c r="F26" s="483"/>
      <c r="G26" s="483"/>
      <c r="H26" s="483"/>
      <c r="I26" s="483"/>
    </row>
    <row r="27" spans="1:9">
      <c r="A27" s="473" t="s">
        <v>733</v>
      </c>
      <c r="B27" s="483"/>
      <c r="C27" s="483"/>
      <c r="D27" s="483"/>
      <c r="E27" s="483"/>
      <c r="F27" s="483"/>
      <c r="G27" s="483"/>
      <c r="H27" s="483"/>
      <c r="I27" s="483"/>
    </row>
    <row r="28" spans="1:9">
      <c r="A28" s="473" t="s">
        <v>734</v>
      </c>
      <c r="B28" s="483"/>
      <c r="C28" s="483"/>
      <c r="D28" s="483"/>
      <c r="E28" s="483"/>
      <c r="F28" s="483"/>
      <c r="G28" s="483"/>
      <c r="H28" s="483"/>
      <c r="I28" s="483"/>
    </row>
    <row r="29" spans="1:9">
      <c r="B29" s="483"/>
      <c r="C29" s="483"/>
      <c r="D29" s="483"/>
      <c r="E29" s="483"/>
      <c r="F29" s="483"/>
      <c r="G29" s="483"/>
      <c r="H29" s="483"/>
      <c r="I29" s="483"/>
    </row>
    <row r="30" spans="1:9">
      <c r="A30" s="473" t="s">
        <v>735</v>
      </c>
      <c r="B30" s="483"/>
      <c r="C30" s="483"/>
      <c r="D30" s="483"/>
      <c r="E30" s="483"/>
      <c r="F30" s="483"/>
      <c r="G30" s="483"/>
      <c r="H30" s="483"/>
      <c r="I30" s="483"/>
    </row>
    <row r="31" spans="1:9">
      <c r="A31" s="473" t="s">
        <v>736</v>
      </c>
      <c r="B31" s="483"/>
      <c r="C31" s="483"/>
      <c r="D31" s="483"/>
      <c r="E31" s="483"/>
      <c r="F31" s="483"/>
      <c r="G31" s="483"/>
      <c r="H31" s="483"/>
      <c r="I31" s="483"/>
    </row>
    <row r="32" spans="1:9">
      <c r="A32" s="473" t="s">
        <v>737</v>
      </c>
      <c r="B32" s="483"/>
      <c r="C32" s="483"/>
      <c r="D32" s="483"/>
      <c r="E32" s="483"/>
      <c r="F32" s="483"/>
      <c r="G32" s="483"/>
      <c r="H32" s="483"/>
      <c r="I32" s="483"/>
    </row>
    <row r="33" spans="1:9">
      <c r="A33" s="473" t="s">
        <v>103</v>
      </c>
      <c r="B33" s="483"/>
      <c r="C33" s="483"/>
      <c r="D33" s="483"/>
      <c r="E33" s="483"/>
      <c r="F33" s="483"/>
      <c r="G33" s="483"/>
      <c r="H33" s="483"/>
      <c r="I33" s="483"/>
    </row>
    <row r="34" spans="1:9">
      <c r="A34" s="473" t="s">
        <v>104</v>
      </c>
      <c r="B34" s="483"/>
      <c r="C34" s="483"/>
      <c r="D34" s="483"/>
      <c r="E34" s="483"/>
      <c r="F34" s="483"/>
      <c r="G34" s="483"/>
      <c r="H34" s="483"/>
      <c r="I34" s="483"/>
    </row>
    <row r="35" spans="1:9">
      <c r="A35" s="473" t="s">
        <v>105</v>
      </c>
      <c r="B35" s="483"/>
      <c r="C35" s="483"/>
      <c r="D35" s="483"/>
      <c r="E35" s="483"/>
      <c r="F35" s="483"/>
      <c r="G35" s="483"/>
      <c r="H35" s="483"/>
      <c r="I35" s="483"/>
    </row>
    <row r="36" spans="1:9">
      <c r="A36" s="473" t="s">
        <v>106</v>
      </c>
      <c r="B36" s="483"/>
      <c r="C36" s="483"/>
      <c r="D36" s="483"/>
      <c r="E36" s="483"/>
      <c r="F36" s="483"/>
      <c r="G36" s="483"/>
      <c r="H36" s="483"/>
      <c r="I36" s="483"/>
    </row>
    <row r="37" spans="1:9">
      <c r="A37" s="473" t="s">
        <v>770</v>
      </c>
      <c r="B37" s="483"/>
      <c r="C37" s="483"/>
      <c r="D37" s="483"/>
      <c r="E37" s="483"/>
      <c r="F37" s="483"/>
      <c r="G37" s="483"/>
      <c r="H37" s="483"/>
      <c r="I37" s="483"/>
    </row>
    <row r="38" spans="1:9">
      <c r="A38" s="473" t="s">
        <v>107</v>
      </c>
      <c r="B38" s="483"/>
      <c r="C38" s="483"/>
      <c r="D38" s="483"/>
      <c r="E38" s="483"/>
      <c r="F38" s="483"/>
      <c r="G38" s="483"/>
      <c r="H38" s="483"/>
      <c r="I38" s="483"/>
    </row>
    <row r="39" spans="1:9">
      <c r="B39" s="483"/>
      <c r="C39" s="483"/>
      <c r="D39" s="483"/>
      <c r="E39" s="483"/>
      <c r="F39" s="483"/>
      <c r="G39" s="483"/>
      <c r="H39" s="483"/>
      <c r="I39" s="483"/>
    </row>
    <row r="40" spans="1:9">
      <c r="A40" s="473" t="s">
        <v>1619</v>
      </c>
      <c r="B40" s="483"/>
      <c r="C40" s="483"/>
      <c r="D40" s="483"/>
      <c r="E40" s="483"/>
      <c r="F40" s="483"/>
      <c r="G40" s="483"/>
      <c r="H40" s="483"/>
      <c r="I40" s="483"/>
    </row>
    <row r="41" spans="1:9">
      <c r="A41" s="473" t="s">
        <v>1621</v>
      </c>
      <c r="B41" s="483"/>
      <c r="C41" s="483"/>
      <c r="D41" s="483"/>
      <c r="E41" s="483"/>
      <c r="F41" s="483"/>
      <c r="G41" s="483"/>
      <c r="H41" s="483"/>
      <c r="I41" s="483"/>
    </row>
    <row r="42" spans="1:9">
      <c r="A42" s="473" t="s">
        <v>1620</v>
      </c>
      <c r="B42" s="483"/>
      <c r="C42" s="483"/>
      <c r="D42" s="483"/>
      <c r="E42" s="483"/>
      <c r="F42" s="483"/>
      <c r="G42" s="483"/>
      <c r="H42" s="483"/>
      <c r="I42" s="483"/>
    </row>
    <row r="43" spans="1:9">
      <c r="A43" s="483"/>
      <c r="B43" s="483"/>
      <c r="C43" s="483"/>
      <c r="D43" s="483"/>
      <c r="E43" s="483"/>
      <c r="F43" s="483"/>
      <c r="G43" s="483"/>
      <c r="H43" s="483"/>
      <c r="I43" s="483"/>
    </row>
    <row r="44" spans="1:9">
      <c r="A44" s="483"/>
      <c r="B44" s="483"/>
      <c r="C44" s="483"/>
      <c r="D44" s="483"/>
      <c r="E44" s="483"/>
      <c r="F44" s="483"/>
      <c r="G44" s="483"/>
      <c r="H44" s="483"/>
      <c r="I44" s="483"/>
    </row>
    <row r="45" spans="1:9">
      <c r="A45" s="483"/>
      <c r="B45" s="483"/>
      <c r="C45" s="483"/>
      <c r="D45" s="483"/>
      <c r="E45" s="483"/>
      <c r="F45" s="483"/>
      <c r="G45" s="483"/>
      <c r="H45" s="483"/>
      <c r="I45" s="483"/>
    </row>
    <row r="46" spans="1:9">
      <c r="A46" s="483"/>
      <c r="B46" s="483"/>
      <c r="C46" s="483"/>
      <c r="D46" s="483"/>
      <c r="E46" s="483"/>
      <c r="F46" s="483"/>
      <c r="G46" s="483"/>
      <c r="H46" s="483"/>
      <c r="I46" s="483"/>
    </row>
  </sheetData>
  <mergeCells count="2">
    <mergeCell ref="A1:J1"/>
    <mergeCell ref="A3:J3"/>
  </mergeCells>
  <phoneticPr fontId="0" type="noConversion"/>
  <pageMargins left="0.75" right="0.75" top="1" bottom="1" header="0.5" footer="0.5"/>
  <pageSetup scale="77" orientation="portrait" r:id="rId1"/>
  <headerFooter alignWithMargins="0">
    <oddHeader>&amp;R&amp;"Times New Roman,Bold"Appendix A
Page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254"/>
  <sheetViews>
    <sheetView zoomScaleNormal="100" zoomScaleSheetLayoutView="100" workbookViewId="0">
      <selection sqref="A1:J1"/>
    </sheetView>
  </sheetViews>
  <sheetFormatPr defaultColWidth="9.1796875" defaultRowHeight="12.5"/>
  <cols>
    <col min="1" max="1" width="4.1796875" style="704" customWidth="1"/>
    <col min="2" max="2" width="4.7265625" style="704" customWidth="1"/>
    <col min="3" max="3" width="7.1796875" style="704" customWidth="1"/>
    <col min="4" max="4" width="15.26953125" style="473" customWidth="1"/>
    <col min="5" max="5" width="14.1796875" style="473" customWidth="1"/>
    <col min="6" max="6" width="21.54296875" style="473" customWidth="1"/>
    <col min="7" max="7" width="15.1796875" style="473" customWidth="1"/>
    <col min="8" max="8" width="11" style="473" customWidth="1"/>
    <col min="9" max="9" width="15" style="473" customWidth="1"/>
    <col min="10" max="10" width="12.81640625" style="473" customWidth="1"/>
    <col min="11" max="11" width="10.26953125" style="473" customWidth="1"/>
    <col min="12" max="12" width="9.1796875" style="473"/>
    <col min="13" max="13" width="11" style="473" bestFit="1" customWidth="1"/>
    <col min="14" max="14" width="9.1796875" style="473"/>
    <col min="15" max="15" width="10.26953125" style="473" bestFit="1" customWidth="1"/>
    <col min="16" max="16384" width="9.1796875" style="473"/>
  </cols>
  <sheetData>
    <row r="1" spans="1:29" ht="18">
      <c r="A1" s="1560" t="str">
        <f>+'ATT H-2A'!A4</f>
        <v>Baltimore Gas and Electric Company</v>
      </c>
      <c r="B1" s="1645"/>
      <c r="C1" s="1645"/>
      <c r="D1" s="1645"/>
      <c r="E1" s="1645"/>
      <c r="F1" s="1645"/>
      <c r="G1" s="1645"/>
      <c r="H1" s="1645"/>
      <c r="I1" s="1645"/>
      <c r="J1" s="1645"/>
    </row>
    <row r="2" spans="1:29" ht="13">
      <c r="A2" s="101"/>
    </row>
    <row r="3" spans="1:29" ht="18">
      <c r="A3" s="1584" t="s">
        <v>50</v>
      </c>
      <c r="B3" s="1584"/>
      <c r="C3" s="1584"/>
      <c r="D3" s="1584"/>
      <c r="E3" s="1584"/>
      <c r="F3" s="1584"/>
      <c r="G3" s="1584"/>
      <c r="H3" s="1584"/>
      <c r="I3" s="1561"/>
      <c r="J3" s="1561"/>
    </row>
    <row r="5" spans="1:29" ht="14">
      <c r="J5" s="732"/>
    </row>
    <row r="6" spans="1:29">
      <c r="A6" s="370" t="s">
        <v>500</v>
      </c>
      <c r="B6" s="370"/>
      <c r="C6" s="370"/>
      <c r="D6" s="370"/>
      <c r="E6" s="371"/>
      <c r="H6" s="371"/>
      <c r="I6" s="371"/>
      <c r="J6" s="371"/>
      <c r="K6" s="371"/>
      <c r="L6" s="371"/>
      <c r="M6" s="371"/>
      <c r="N6" s="371"/>
      <c r="O6" s="371"/>
      <c r="P6" s="371"/>
      <c r="Q6" s="371"/>
      <c r="R6" s="371"/>
      <c r="S6" s="371"/>
      <c r="T6" s="371"/>
      <c r="U6" s="371"/>
      <c r="V6" s="371"/>
      <c r="W6" s="371"/>
      <c r="X6" s="371"/>
      <c r="Y6" s="371"/>
      <c r="Z6" s="371"/>
      <c r="AA6" s="371"/>
      <c r="AB6" s="371"/>
      <c r="AC6" s="372"/>
    </row>
    <row r="7" spans="1:29">
      <c r="B7" s="370"/>
      <c r="C7" s="370"/>
      <c r="D7" s="371"/>
      <c r="E7" s="371"/>
      <c r="F7" s="371"/>
      <c r="G7" s="371"/>
      <c r="H7" s="371"/>
      <c r="I7" s="371"/>
      <c r="J7" s="371"/>
      <c r="K7" s="371"/>
      <c r="L7" s="371"/>
      <c r="M7" s="371"/>
      <c r="N7" s="371"/>
      <c r="O7" s="371"/>
      <c r="P7" s="371"/>
      <c r="Q7" s="371"/>
      <c r="R7" s="371"/>
      <c r="S7" s="371"/>
      <c r="T7" s="371"/>
      <c r="U7" s="371"/>
      <c r="V7" s="371"/>
      <c r="W7" s="371"/>
      <c r="X7" s="371"/>
      <c r="Y7" s="371"/>
      <c r="Z7" s="371"/>
      <c r="AA7" s="371"/>
      <c r="AB7" s="371"/>
      <c r="AC7" s="372"/>
    </row>
    <row r="8" spans="1:29">
      <c r="A8" s="1339"/>
      <c r="B8" s="370"/>
      <c r="C8" s="370"/>
      <c r="D8" s="371"/>
      <c r="E8" s="371"/>
      <c r="F8" s="371"/>
      <c r="G8" s="371"/>
      <c r="H8" s="371"/>
      <c r="I8" s="371"/>
      <c r="J8" s="371"/>
      <c r="K8" s="371"/>
      <c r="L8" s="371"/>
      <c r="M8" s="371"/>
      <c r="N8" s="371"/>
      <c r="O8" s="371"/>
      <c r="P8" s="371"/>
      <c r="Q8" s="371"/>
      <c r="R8" s="371"/>
      <c r="S8" s="371"/>
      <c r="T8" s="371"/>
      <c r="U8" s="371"/>
      <c r="V8" s="371"/>
      <c r="W8" s="371"/>
      <c r="X8" s="371"/>
      <c r="Y8" s="371"/>
      <c r="Z8" s="371"/>
      <c r="AA8" s="371"/>
      <c r="AB8" s="371"/>
      <c r="AC8" s="372"/>
    </row>
    <row r="9" spans="1:29">
      <c r="A9" s="1339">
        <v>1</v>
      </c>
      <c r="B9" s="374" t="s">
        <v>1430</v>
      </c>
      <c r="C9" s="374"/>
      <c r="D9" s="371"/>
      <c r="E9" s="371"/>
      <c r="F9" s="371"/>
      <c r="G9" s="371"/>
      <c r="H9" s="371"/>
      <c r="I9" s="371"/>
      <c r="J9" s="371"/>
      <c r="K9" s="371"/>
      <c r="L9" s="371"/>
      <c r="M9" s="371"/>
      <c r="N9" s="371"/>
      <c r="O9" s="371"/>
      <c r="P9" s="371"/>
      <c r="Q9" s="371"/>
      <c r="R9" s="371"/>
      <c r="S9" s="371"/>
      <c r="T9" s="371"/>
      <c r="U9" s="371"/>
      <c r="V9" s="371"/>
      <c r="W9" s="371"/>
      <c r="X9" s="371"/>
      <c r="Y9" s="371"/>
      <c r="Z9" s="371"/>
      <c r="AA9" s="371"/>
      <c r="AB9" s="371"/>
      <c r="AC9" s="372"/>
    </row>
    <row r="10" spans="1:29">
      <c r="A10" s="426"/>
      <c r="B10" s="427" t="s">
        <v>384</v>
      </c>
      <c r="C10" s="427"/>
      <c r="D10" s="385"/>
      <c r="E10" s="385"/>
      <c r="G10" s="1348" t="s">
        <v>1544</v>
      </c>
      <c r="H10" s="1348" t="s">
        <v>1579</v>
      </c>
      <c r="J10" s="385"/>
      <c r="K10" s="371"/>
      <c r="L10" s="371"/>
      <c r="M10" s="371"/>
      <c r="N10" s="371"/>
      <c r="O10" s="371"/>
      <c r="P10" s="371"/>
      <c r="Q10" s="371"/>
      <c r="R10" s="371"/>
      <c r="S10" s="371"/>
      <c r="T10" s="371"/>
      <c r="U10" s="371"/>
      <c r="V10" s="371"/>
      <c r="W10" s="371"/>
      <c r="X10" s="371"/>
      <c r="Y10" s="371"/>
      <c r="Z10" s="371"/>
      <c r="AA10" s="371"/>
      <c r="AB10" s="371"/>
      <c r="AC10" s="372"/>
    </row>
    <row r="11" spans="1:29">
      <c r="A11" s="426"/>
      <c r="B11" s="427"/>
      <c r="C11" s="427"/>
      <c r="D11" s="385"/>
      <c r="E11" s="385"/>
      <c r="G11" s="1343"/>
      <c r="H11" s="1343"/>
      <c r="J11" s="385"/>
      <c r="K11" s="371"/>
      <c r="L11" s="371"/>
      <c r="M11" s="371"/>
      <c r="N11" s="371"/>
      <c r="O11" s="371"/>
      <c r="P11" s="371"/>
      <c r="Q11" s="371"/>
      <c r="R11" s="371"/>
      <c r="S11" s="371"/>
      <c r="T11" s="371"/>
      <c r="U11" s="371"/>
      <c r="V11" s="371"/>
      <c r="W11" s="371"/>
      <c r="X11" s="371"/>
      <c r="Y11" s="371"/>
      <c r="Z11" s="371"/>
      <c r="AA11" s="371"/>
      <c r="AB11" s="371"/>
      <c r="AC11" s="372"/>
    </row>
    <row r="12" spans="1:29">
      <c r="A12" s="427"/>
      <c r="B12" s="427">
        <v>1</v>
      </c>
      <c r="C12" s="385" t="s">
        <v>256</v>
      </c>
      <c r="F12" s="385" t="s">
        <v>1446</v>
      </c>
      <c r="G12" s="1347">
        <v>40962</v>
      </c>
      <c r="H12" s="1347">
        <v>45531</v>
      </c>
      <c r="J12" s="385"/>
      <c r="K12" s="371"/>
      <c r="L12" s="371"/>
      <c r="M12" s="371"/>
      <c r="N12" s="371"/>
      <c r="O12" s="371"/>
      <c r="P12" s="371"/>
      <c r="Q12" s="371"/>
      <c r="R12" s="371"/>
      <c r="S12" s="371"/>
      <c r="T12" s="371"/>
      <c r="U12" s="371"/>
      <c r="V12" s="371"/>
      <c r="W12" s="371"/>
      <c r="X12" s="371"/>
      <c r="Y12" s="371"/>
      <c r="Z12" s="371"/>
      <c r="AA12" s="371"/>
      <c r="AB12" s="371"/>
      <c r="AC12" s="372"/>
    </row>
    <row r="13" spans="1:29">
      <c r="A13" s="427"/>
      <c r="B13" s="427">
        <f>1+B12</f>
        <v>2</v>
      </c>
      <c r="C13" s="448" t="s">
        <v>1444</v>
      </c>
      <c r="F13" s="1428" t="s">
        <v>1492</v>
      </c>
      <c r="G13" s="1346">
        <f>+G12/365</f>
        <v>112.22465753424657</v>
      </c>
      <c r="H13" s="1346">
        <f>+H12/365</f>
        <v>124.74246575342465</v>
      </c>
      <c r="J13" s="385"/>
      <c r="K13" s="371"/>
      <c r="L13" s="371"/>
      <c r="M13" s="371"/>
      <c r="N13" s="371"/>
      <c r="O13" s="371"/>
      <c r="P13" s="371"/>
      <c r="Q13" s="371"/>
      <c r="R13" s="371"/>
      <c r="S13" s="371"/>
      <c r="T13" s="371"/>
      <c r="U13" s="371"/>
      <c r="V13" s="371"/>
      <c r="W13" s="371"/>
      <c r="X13" s="371"/>
      <c r="Y13" s="371"/>
      <c r="Z13" s="371"/>
      <c r="AA13" s="371"/>
      <c r="AB13" s="371"/>
      <c r="AC13" s="372"/>
    </row>
    <row r="14" spans="1:29">
      <c r="A14" s="427"/>
      <c r="B14" s="427">
        <f t="shared" ref="B14:B20" si="0">1+B13</f>
        <v>3</v>
      </c>
      <c r="C14" s="448" t="s">
        <v>1431</v>
      </c>
      <c r="E14" s="385"/>
      <c r="F14" s="385"/>
      <c r="G14" s="1349">
        <v>151</v>
      </c>
      <c r="H14" s="1349">
        <v>214</v>
      </c>
      <c r="J14" s="385"/>
      <c r="K14" s="371"/>
      <c r="L14" s="371"/>
      <c r="M14" s="371"/>
      <c r="N14" s="371"/>
      <c r="O14" s="371"/>
      <c r="P14" s="371"/>
      <c r="Q14" s="371"/>
      <c r="R14" s="371"/>
      <c r="S14" s="371"/>
      <c r="T14" s="371"/>
      <c r="U14" s="371"/>
      <c r="V14" s="371"/>
      <c r="W14" s="371"/>
      <c r="X14" s="371"/>
      <c r="Y14" s="371"/>
      <c r="Z14" s="371"/>
      <c r="AA14" s="371"/>
      <c r="AB14" s="371"/>
      <c r="AC14" s="372"/>
    </row>
    <row r="15" spans="1:29">
      <c r="A15" s="427"/>
      <c r="B15" s="427">
        <f t="shared" si="0"/>
        <v>4</v>
      </c>
      <c r="C15" s="448" t="s">
        <v>257</v>
      </c>
      <c r="E15" s="385"/>
      <c r="F15" s="385" t="s">
        <v>1445</v>
      </c>
      <c r="G15" s="1467">
        <v>6486</v>
      </c>
      <c r="H15" s="1467">
        <v>6486</v>
      </c>
      <c r="J15" s="385"/>
      <c r="K15" s="371"/>
      <c r="L15" s="371"/>
      <c r="M15" s="371"/>
      <c r="N15" s="371"/>
      <c r="O15" s="371"/>
      <c r="P15" s="371"/>
      <c r="Q15" s="371"/>
      <c r="R15" s="371"/>
      <c r="S15" s="371"/>
      <c r="T15" s="371"/>
      <c r="U15" s="371"/>
      <c r="V15" s="371"/>
      <c r="W15" s="371"/>
      <c r="X15" s="371"/>
      <c r="Y15" s="371"/>
      <c r="Z15" s="371"/>
      <c r="AA15" s="371"/>
      <c r="AB15" s="371"/>
      <c r="AC15" s="372"/>
    </row>
    <row r="16" spans="1:29">
      <c r="A16" s="427"/>
      <c r="B16" s="427">
        <f t="shared" si="0"/>
        <v>5</v>
      </c>
      <c r="C16" s="448" t="s">
        <v>1432</v>
      </c>
      <c r="E16" s="385"/>
      <c r="F16" s="385" t="s">
        <v>1438</v>
      </c>
      <c r="G16" s="386">
        <f>+G13*G14*G15</f>
        <v>109911258.44383563</v>
      </c>
      <c r="H16" s="386">
        <f>+H13*H14*H15</f>
        <v>173143041.43561643</v>
      </c>
      <c r="J16" s="385"/>
      <c r="K16" s="371"/>
      <c r="L16" s="371"/>
      <c r="M16" s="371"/>
      <c r="N16" s="371"/>
      <c r="O16" s="371"/>
      <c r="P16" s="371"/>
      <c r="Q16" s="371"/>
      <c r="R16" s="371"/>
      <c r="S16" s="371"/>
      <c r="T16" s="371"/>
      <c r="U16" s="371"/>
      <c r="V16" s="371"/>
      <c r="W16" s="371"/>
      <c r="X16" s="371"/>
      <c r="Y16" s="371"/>
      <c r="Z16" s="371"/>
      <c r="AA16" s="371"/>
      <c r="AB16" s="371"/>
      <c r="AC16" s="372"/>
    </row>
    <row r="17" spans="1:29">
      <c r="A17" s="427"/>
      <c r="B17" s="427"/>
      <c r="C17" s="448"/>
      <c r="E17" s="385"/>
      <c r="F17" s="385"/>
      <c r="G17" s="385"/>
      <c r="H17" s="385"/>
      <c r="J17" s="385"/>
      <c r="K17" s="371"/>
      <c r="L17" s="371"/>
      <c r="M17" s="371"/>
      <c r="N17" s="371"/>
      <c r="O17" s="371"/>
      <c r="P17" s="371"/>
      <c r="Q17" s="371"/>
      <c r="R17" s="371"/>
      <c r="S17" s="371"/>
      <c r="T17" s="371"/>
      <c r="U17" s="371"/>
      <c r="V17" s="371"/>
      <c r="W17" s="371"/>
      <c r="X17" s="371"/>
      <c r="Y17" s="371"/>
      <c r="Z17" s="371"/>
      <c r="AA17" s="371"/>
      <c r="AB17" s="371"/>
      <c r="AC17" s="372"/>
    </row>
    <row r="18" spans="1:29">
      <c r="A18" s="427"/>
      <c r="B18" s="427">
        <f>1+B16</f>
        <v>6</v>
      </c>
      <c r="C18" s="448" t="s">
        <v>1433</v>
      </c>
      <c r="E18" s="385"/>
      <c r="F18" s="385" t="s">
        <v>1447</v>
      </c>
      <c r="G18" s="1350">
        <v>11579877.921471881</v>
      </c>
      <c r="H18" s="1350">
        <v>7176272.2576809498</v>
      </c>
      <c r="J18" s="385"/>
      <c r="K18" s="371"/>
      <c r="L18" s="371"/>
      <c r="M18" s="371"/>
      <c r="N18" s="371"/>
      <c r="O18" s="371"/>
      <c r="P18" s="371"/>
      <c r="Q18" s="371"/>
      <c r="R18" s="371"/>
      <c r="S18" s="371"/>
      <c r="T18" s="371"/>
      <c r="U18" s="371"/>
      <c r="V18" s="371"/>
      <c r="W18" s="371"/>
      <c r="X18" s="371"/>
      <c r="Y18" s="371"/>
      <c r="Z18" s="371"/>
      <c r="AA18" s="371"/>
      <c r="AB18" s="371"/>
      <c r="AC18" s="372"/>
    </row>
    <row r="19" spans="1:29">
      <c r="A19" s="427"/>
      <c r="B19" s="427">
        <f t="shared" si="0"/>
        <v>7</v>
      </c>
      <c r="C19" s="448" t="s">
        <v>1435</v>
      </c>
      <c r="E19" s="385"/>
      <c r="F19" s="385"/>
      <c r="G19" s="1351">
        <v>5</v>
      </c>
      <c r="H19" s="1351">
        <v>7</v>
      </c>
      <c r="I19" s="385"/>
      <c r="J19" s="385"/>
      <c r="K19" s="371"/>
      <c r="L19" s="371"/>
      <c r="M19" s="371"/>
      <c r="N19" s="371"/>
      <c r="O19" s="371"/>
      <c r="P19" s="371"/>
      <c r="Q19" s="371"/>
      <c r="R19" s="371"/>
      <c r="S19" s="371"/>
      <c r="T19" s="371"/>
      <c r="U19" s="371"/>
      <c r="V19" s="371"/>
      <c r="W19" s="371"/>
      <c r="X19" s="371"/>
      <c r="Y19" s="371"/>
      <c r="Z19" s="371"/>
      <c r="AA19" s="371"/>
      <c r="AB19" s="371"/>
      <c r="AC19" s="372"/>
    </row>
    <row r="20" spans="1:29">
      <c r="A20" s="1342"/>
      <c r="B20" s="427">
        <f t="shared" si="0"/>
        <v>8</v>
      </c>
      <c r="C20" s="448" t="s">
        <v>1434</v>
      </c>
      <c r="E20" s="448"/>
      <c r="F20" s="1345"/>
      <c r="G20" s="778">
        <v>12</v>
      </c>
      <c r="H20" s="778">
        <v>12</v>
      </c>
      <c r="I20" s="448"/>
      <c r="J20" s="448"/>
      <c r="K20" s="374"/>
      <c r="L20" s="466"/>
      <c r="M20" s="466"/>
      <c r="N20" s="371"/>
      <c r="O20" s="371"/>
      <c r="P20" s="371"/>
      <c r="Q20" s="371"/>
      <c r="R20" s="371"/>
      <c r="S20" s="371"/>
      <c r="T20" s="371"/>
      <c r="U20" s="371"/>
      <c r="V20" s="371"/>
      <c r="W20" s="371"/>
      <c r="X20" s="371"/>
      <c r="Y20" s="371"/>
      <c r="Z20" s="371"/>
      <c r="AA20" s="371"/>
      <c r="AB20" s="371"/>
      <c r="AC20" s="372"/>
    </row>
    <row r="21" spans="1:29">
      <c r="A21" s="1342"/>
      <c r="B21" s="427">
        <f>1+B20</f>
        <v>9</v>
      </c>
      <c r="C21" s="448" t="s">
        <v>1436</v>
      </c>
      <c r="E21" s="448"/>
      <c r="F21" s="448" t="s">
        <v>1448</v>
      </c>
      <c r="G21" s="1344">
        <f>+G18*G19/G20</f>
        <v>4824949.1339466171</v>
      </c>
      <c r="H21" s="1344">
        <f>+H18*H19/H20</f>
        <v>4186158.8169805538</v>
      </c>
      <c r="I21" s="448"/>
      <c r="J21" s="448"/>
      <c r="K21" s="374"/>
      <c r="L21" s="466"/>
      <c r="M21" s="466"/>
      <c r="N21" s="371"/>
      <c r="O21" s="371"/>
      <c r="P21" s="371"/>
      <c r="Q21" s="371"/>
      <c r="R21" s="371"/>
      <c r="S21" s="371"/>
      <c r="T21" s="371"/>
      <c r="U21" s="371"/>
      <c r="V21" s="371"/>
      <c r="W21" s="371"/>
      <c r="X21" s="371"/>
      <c r="Y21" s="371"/>
      <c r="Z21" s="371"/>
      <c r="AA21" s="371"/>
      <c r="AB21" s="371"/>
      <c r="AC21" s="372"/>
    </row>
    <row r="22" spans="1:29">
      <c r="A22" s="427"/>
      <c r="B22" s="427"/>
      <c r="C22" s="448"/>
      <c r="E22" s="385"/>
      <c r="F22" s="385"/>
      <c r="G22" s="385"/>
      <c r="H22" s="385"/>
      <c r="I22" s="385"/>
      <c r="J22" s="385"/>
      <c r="K22" s="371"/>
      <c r="L22" s="371"/>
      <c r="M22" s="371"/>
      <c r="N22" s="371"/>
      <c r="O22" s="371"/>
      <c r="P22" s="371"/>
      <c r="Q22" s="371"/>
      <c r="R22" s="371"/>
      <c r="S22" s="371"/>
      <c r="T22" s="371"/>
      <c r="U22" s="371"/>
      <c r="V22" s="371"/>
      <c r="W22" s="371"/>
      <c r="X22" s="371"/>
      <c r="Y22" s="371"/>
      <c r="Z22" s="371"/>
      <c r="AA22" s="371"/>
      <c r="AB22" s="371"/>
      <c r="AC22" s="372"/>
    </row>
    <row r="23" spans="1:29">
      <c r="A23" s="427"/>
      <c r="B23" s="427">
        <f>1+B21</f>
        <v>10</v>
      </c>
      <c r="C23" s="448" t="s">
        <v>1437</v>
      </c>
      <c r="E23" s="385"/>
      <c r="F23" s="385" t="s">
        <v>1439</v>
      </c>
      <c r="G23" s="386">
        <f>G16-G21</f>
        <v>105086309.30988902</v>
      </c>
      <c r="H23" s="386">
        <f>H16-H21</f>
        <v>168956882.61863589</v>
      </c>
      <c r="I23" s="386">
        <f>G23+H23</f>
        <v>274043191.92852491</v>
      </c>
      <c r="J23" s="385"/>
      <c r="K23" s="371"/>
      <c r="L23" s="371"/>
      <c r="M23" s="371"/>
      <c r="N23" s="371"/>
      <c r="O23" s="371"/>
      <c r="P23" s="371"/>
      <c r="Q23" s="371"/>
      <c r="R23" s="371"/>
      <c r="S23" s="371"/>
      <c r="T23" s="371"/>
      <c r="U23" s="371"/>
      <c r="V23" s="371"/>
      <c r="W23" s="371"/>
      <c r="X23" s="371"/>
      <c r="Y23" s="371"/>
      <c r="Z23" s="371"/>
      <c r="AA23" s="371"/>
      <c r="AB23" s="371"/>
      <c r="AC23" s="372"/>
    </row>
    <row r="24" spans="1:29">
      <c r="A24" s="427"/>
      <c r="B24" s="427"/>
      <c r="C24" s="448"/>
      <c r="E24" s="385"/>
      <c r="F24" s="385"/>
      <c r="G24" s="386"/>
      <c r="H24" s="386"/>
      <c r="I24" s="386"/>
      <c r="J24" s="385"/>
      <c r="K24" s="371"/>
      <c r="L24" s="371"/>
      <c r="M24" s="371"/>
      <c r="N24" s="371"/>
      <c r="O24" s="371"/>
      <c r="P24" s="371"/>
      <c r="Q24" s="371"/>
      <c r="R24" s="371"/>
      <c r="S24" s="371"/>
      <c r="T24" s="371"/>
      <c r="U24" s="371"/>
      <c r="V24" s="371"/>
      <c r="W24" s="371"/>
      <c r="X24" s="371"/>
      <c r="Y24" s="371"/>
      <c r="Z24" s="371"/>
      <c r="AA24" s="371"/>
      <c r="AB24" s="371"/>
      <c r="AC24" s="372"/>
    </row>
    <row r="25" spans="1:29">
      <c r="A25" s="427"/>
      <c r="B25" s="1341"/>
      <c r="C25" s="427"/>
      <c r="D25" s="448"/>
      <c r="E25" s="385"/>
      <c r="F25" s="385"/>
      <c r="G25" s="385"/>
      <c r="H25" s="385"/>
      <c r="I25" s="385"/>
      <c r="J25" s="385"/>
      <c r="K25" s="371"/>
      <c r="L25" s="371"/>
      <c r="M25" s="371"/>
      <c r="N25" s="371"/>
      <c r="O25" s="371"/>
      <c r="P25" s="371"/>
      <c r="Q25" s="371"/>
      <c r="R25" s="371"/>
      <c r="S25" s="371"/>
      <c r="T25" s="371"/>
      <c r="U25" s="371"/>
      <c r="V25" s="371"/>
      <c r="W25" s="371"/>
      <c r="X25" s="371"/>
      <c r="Y25" s="371"/>
      <c r="Z25" s="371"/>
      <c r="AA25" s="371"/>
      <c r="AB25" s="371"/>
      <c r="AC25" s="372"/>
    </row>
    <row r="26" spans="1:29">
      <c r="A26" s="427"/>
      <c r="B26" s="1341"/>
      <c r="C26" s="427"/>
      <c r="D26" s="448"/>
      <c r="E26" s="385"/>
      <c r="F26" s="385"/>
      <c r="G26" s="385"/>
      <c r="H26" s="385"/>
      <c r="I26" s="385"/>
      <c r="J26" s="385"/>
      <c r="K26" s="371"/>
      <c r="L26" s="371"/>
      <c r="M26" s="371"/>
      <c r="N26" s="371"/>
      <c r="O26" s="371"/>
      <c r="P26" s="371"/>
      <c r="Q26" s="371"/>
      <c r="R26" s="371"/>
      <c r="S26" s="371"/>
      <c r="T26" s="371"/>
      <c r="U26" s="371"/>
      <c r="V26" s="371"/>
      <c r="W26" s="371"/>
      <c r="X26" s="371"/>
      <c r="Y26" s="371"/>
      <c r="Z26" s="371"/>
      <c r="AA26" s="371"/>
      <c r="AB26" s="371"/>
      <c r="AC26" s="372"/>
    </row>
    <row r="27" spans="1:29">
      <c r="A27" s="467">
        <f>1+A9</f>
        <v>2</v>
      </c>
      <c r="B27" s="1352" t="s">
        <v>1440</v>
      </c>
      <c r="C27" s="370"/>
      <c r="D27" s="374"/>
      <c r="E27" s="371"/>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2"/>
    </row>
    <row r="28" spans="1:29">
      <c r="A28" s="467"/>
      <c r="B28" s="1352"/>
      <c r="C28" s="370"/>
      <c r="D28" s="374"/>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2"/>
    </row>
    <row r="29" spans="1:29">
      <c r="A29" s="370"/>
      <c r="B29" s="370"/>
      <c r="C29" s="370"/>
      <c r="D29" s="370" t="s">
        <v>1491</v>
      </c>
      <c r="E29" s="371"/>
      <c r="F29" s="371" t="s">
        <v>1443</v>
      </c>
      <c r="G29" s="371"/>
      <c r="H29" s="385"/>
      <c r="I29" s="371"/>
      <c r="J29" s="371"/>
      <c r="K29" s="371"/>
      <c r="L29" s="371"/>
      <c r="M29" s="371"/>
      <c r="N29" s="371"/>
      <c r="O29" s="371"/>
      <c r="P29" s="371"/>
      <c r="Q29" s="371"/>
      <c r="R29" s="371"/>
      <c r="S29" s="371"/>
      <c r="T29" s="371"/>
      <c r="U29" s="371"/>
      <c r="V29" s="371"/>
      <c r="W29" s="371"/>
      <c r="X29" s="371"/>
      <c r="Y29" s="371"/>
      <c r="Z29" s="371"/>
      <c r="AA29" s="371"/>
      <c r="AB29" s="371"/>
      <c r="AC29" s="372"/>
    </row>
    <row r="30" spans="1:29">
      <c r="A30" s="370"/>
      <c r="B30" s="370"/>
      <c r="C30" s="370"/>
      <c r="D30" s="375"/>
      <c r="E30" s="1468">
        <f>+'ATT H-2A'!H302+'ATT H-2A'!H304</f>
        <v>275615848.68643153</v>
      </c>
      <c r="F30" s="405">
        <f>+I23</f>
        <v>274043191.92852491</v>
      </c>
      <c r="G30" s="370" t="str">
        <f>"="</f>
        <v>=</v>
      </c>
      <c r="H30" s="386">
        <f>E30-F30</f>
        <v>1572656.7579066157</v>
      </c>
      <c r="I30" s="371"/>
      <c r="J30" s="371"/>
      <c r="K30" s="385"/>
      <c r="L30" s="385"/>
      <c r="M30" s="385"/>
      <c r="N30" s="385"/>
      <c r="O30" s="371"/>
      <c r="P30" s="371"/>
      <c r="Q30" s="371"/>
      <c r="R30" s="371"/>
      <c r="S30" s="371"/>
      <c r="T30" s="371"/>
      <c r="U30" s="371"/>
      <c r="V30" s="371"/>
      <c r="W30" s="371"/>
      <c r="X30" s="371"/>
      <c r="Y30" s="371"/>
      <c r="Z30" s="371"/>
      <c r="AA30" s="371"/>
      <c r="AB30" s="371"/>
      <c r="AC30" s="372"/>
    </row>
    <row r="31" spans="1:29">
      <c r="A31" s="370"/>
      <c r="B31" s="370"/>
      <c r="C31" s="370"/>
      <c r="D31" s="378"/>
      <c r="E31" s="370"/>
      <c r="F31" s="375"/>
      <c r="G31" s="370"/>
      <c r="H31" s="386"/>
      <c r="I31" s="371"/>
      <c r="J31" s="371"/>
      <c r="K31" s="371"/>
      <c r="L31" s="371"/>
      <c r="M31" s="371"/>
      <c r="N31" s="371"/>
      <c r="O31" s="371"/>
      <c r="P31" s="371"/>
      <c r="Q31" s="371"/>
      <c r="R31" s="371"/>
      <c r="S31" s="371"/>
      <c r="T31" s="371"/>
      <c r="U31" s="371"/>
      <c r="V31" s="371"/>
      <c r="W31" s="371"/>
      <c r="X31" s="371"/>
      <c r="Y31" s="371"/>
      <c r="Z31" s="371"/>
      <c r="AA31" s="371"/>
      <c r="AB31" s="371"/>
      <c r="AC31" s="372"/>
    </row>
    <row r="32" spans="1:29">
      <c r="A32" s="370"/>
      <c r="B32" s="370"/>
      <c r="C32" s="370"/>
      <c r="D32" s="387" t="s">
        <v>516</v>
      </c>
      <c r="E32" s="370"/>
      <c r="F32" s="375"/>
      <c r="G32" s="370"/>
      <c r="H32" s="375"/>
      <c r="I32" s="371"/>
      <c r="J32" s="371"/>
      <c r="K32" s="371"/>
      <c r="L32" s="371"/>
      <c r="M32" s="371"/>
      <c r="N32" s="371"/>
      <c r="O32" s="371"/>
      <c r="P32" s="371"/>
      <c r="Q32" s="371"/>
      <c r="R32" s="371"/>
      <c r="S32" s="371"/>
      <c r="T32" s="371"/>
      <c r="U32" s="371"/>
      <c r="V32" s="371"/>
      <c r="W32" s="371"/>
      <c r="X32" s="371"/>
      <c r="Y32" s="371"/>
      <c r="Z32" s="371"/>
      <c r="AA32" s="371"/>
      <c r="AB32" s="371"/>
      <c r="AC32" s="372"/>
    </row>
    <row r="33" spans="1:29">
      <c r="A33" s="370"/>
      <c r="B33" s="370"/>
      <c r="C33" s="370"/>
      <c r="D33" s="387" t="s">
        <v>553</v>
      </c>
      <c r="E33" s="370"/>
      <c r="F33" s="384">
        <v>5.4000000000000003E-3</v>
      </c>
      <c r="G33" s="370"/>
      <c r="H33" s="375"/>
      <c r="I33" s="371"/>
      <c r="J33" s="371"/>
      <c r="K33" s="371"/>
      <c r="L33" s="371"/>
      <c r="M33" s="371"/>
      <c r="N33" s="371"/>
      <c r="O33" s="371"/>
      <c r="P33" s="371"/>
      <c r="Q33" s="371"/>
      <c r="R33" s="371"/>
      <c r="S33" s="371"/>
      <c r="T33" s="371"/>
      <c r="U33" s="371"/>
      <c r="V33" s="371"/>
      <c r="W33" s="371"/>
      <c r="X33" s="371"/>
      <c r="Y33" s="371"/>
      <c r="Z33" s="371"/>
      <c r="AA33" s="371"/>
      <c r="AB33" s="371"/>
      <c r="AC33" s="372"/>
    </row>
    <row r="34" spans="1:29">
      <c r="A34" s="370"/>
      <c r="B34" s="370"/>
      <c r="C34" s="370"/>
      <c r="D34" s="379" t="s">
        <v>501</v>
      </c>
      <c r="E34" s="370" t="s">
        <v>517</v>
      </c>
      <c r="F34" s="370" t="s">
        <v>518</v>
      </c>
      <c r="G34" s="379" t="s">
        <v>519</v>
      </c>
      <c r="H34" s="370"/>
      <c r="I34" s="379" t="s">
        <v>520</v>
      </c>
      <c r="J34" s="370" t="s">
        <v>521</v>
      </c>
      <c r="K34" s="371"/>
      <c r="L34" s="371"/>
      <c r="M34" s="371"/>
      <c r="N34" s="371"/>
      <c r="O34" s="371"/>
      <c r="P34" s="371"/>
      <c r="Q34" s="371"/>
      <c r="R34" s="371"/>
      <c r="S34" s="371"/>
      <c r="T34" s="371"/>
      <c r="U34" s="371"/>
      <c r="V34" s="371"/>
      <c r="W34" s="371"/>
      <c r="X34" s="371"/>
      <c r="Y34" s="371"/>
      <c r="Z34" s="371"/>
      <c r="AA34" s="371"/>
      <c r="AB34" s="371"/>
      <c r="AC34" s="372"/>
    </row>
    <row r="35" spans="1:29">
      <c r="A35" s="370"/>
      <c r="B35" s="370"/>
      <c r="C35" s="370"/>
      <c r="D35" s="370"/>
      <c r="E35" s="370"/>
      <c r="F35" s="370"/>
      <c r="G35" s="370" t="s">
        <v>522</v>
      </c>
      <c r="H35" s="370" t="s">
        <v>523</v>
      </c>
      <c r="I35" s="370"/>
      <c r="J35" s="370"/>
      <c r="K35" s="371"/>
      <c r="L35" s="371"/>
      <c r="M35" s="371"/>
      <c r="N35" s="371"/>
      <c r="O35" s="371"/>
      <c r="P35" s="371"/>
      <c r="Q35" s="371"/>
      <c r="R35" s="371"/>
      <c r="S35" s="371"/>
      <c r="T35" s="371"/>
      <c r="U35" s="371"/>
      <c r="V35" s="371"/>
      <c r="W35" s="371"/>
      <c r="X35" s="371"/>
      <c r="Y35" s="371"/>
      <c r="Z35" s="371"/>
      <c r="AA35" s="371"/>
      <c r="AB35" s="371"/>
      <c r="AC35" s="372"/>
    </row>
    <row r="36" spans="1:29">
      <c r="A36" s="370"/>
      <c r="B36" s="370"/>
      <c r="C36" s="370"/>
      <c r="D36" s="371" t="s">
        <v>509</v>
      </c>
      <c r="E36" s="371"/>
      <c r="F36" s="373">
        <f>+H30/12</f>
        <v>131054.72982555132</v>
      </c>
      <c r="G36" s="376">
        <f>+F33</f>
        <v>5.4000000000000003E-3</v>
      </c>
      <c r="H36" s="371">
        <v>11.5</v>
      </c>
      <c r="I36" s="373">
        <f t="shared" ref="I36:I47" si="1">+H36*G36*F36</f>
        <v>8138.498722166737</v>
      </c>
      <c r="J36" s="373">
        <f t="shared" ref="J36:J47" si="2">+F36+I36</f>
        <v>139193.22854771806</v>
      </c>
      <c r="K36" s="371"/>
      <c r="L36" s="371"/>
      <c r="M36" s="371"/>
      <c r="N36" s="371"/>
      <c r="O36" s="371"/>
      <c r="P36" s="371"/>
      <c r="Q36" s="371"/>
      <c r="R36" s="371"/>
      <c r="S36" s="371"/>
      <c r="T36" s="371"/>
      <c r="U36" s="371"/>
      <c r="V36" s="371"/>
      <c r="W36" s="371"/>
      <c r="X36" s="371"/>
      <c r="Y36" s="371"/>
      <c r="Z36" s="371"/>
      <c r="AA36" s="371"/>
      <c r="AB36" s="371"/>
      <c r="AC36" s="372"/>
    </row>
    <row r="37" spans="1:29">
      <c r="A37" s="370"/>
      <c r="B37" s="370"/>
      <c r="C37" s="370"/>
      <c r="D37" s="371" t="s">
        <v>510</v>
      </c>
      <c r="E37" s="371"/>
      <c r="F37" s="375">
        <f t="shared" ref="F37:G42" si="3">+F36</f>
        <v>131054.72982555132</v>
      </c>
      <c r="G37" s="380">
        <f t="shared" si="3"/>
        <v>5.4000000000000003E-3</v>
      </c>
      <c r="H37" s="371">
        <f t="shared" ref="H37:H47" si="4">+H36-1</f>
        <v>10.5</v>
      </c>
      <c r="I37" s="373">
        <f t="shared" si="1"/>
        <v>7430.8031811087594</v>
      </c>
      <c r="J37" s="373">
        <f t="shared" si="2"/>
        <v>138485.53300666009</v>
      </c>
      <c r="K37" s="371"/>
      <c r="L37" s="371"/>
      <c r="M37" s="371"/>
      <c r="N37" s="371"/>
      <c r="O37" s="371"/>
      <c r="P37" s="371"/>
      <c r="Q37" s="371"/>
      <c r="R37" s="371"/>
      <c r="S37" s="371"/>
      <c r="T37" s="371"/>
      <c r="U37" s="371"/>
      <c r="V37" s="371"/>
      <c r="W37" s="371"/>
      <c r="X37" s="371"/>
      <c r="Y37" s="371"/>
      <c r="Z37" s="371"/>
      <c r="AA37" s="371"/>
      <c r="AB37" s="371"/>
      <c r="AC37" s="372"/>
    </row>
    <row r="38" spans="1:29">
      <c r="A38" s="370"/>
      <c r="B38" s="370"/>
      <c r="C38" s="370"/>
      <c r="D38" s="371" t="s">
        <v>511</v>
      </c>
      <c r="E38" s="371"/>
      <c r="F38" s="375">
        <f t="shared" si="3"/>
        <v>131054.72982555132</v>
      </c>
      <c r="G38" s="380">
        <f t="shared" si="3"/>
        <v>5.4000000000000003E-3</v>
      </c>
      <c r="H38" s="371">
        <f t="shared" si="4"/>
        <v>9.5</v>
      </c>
      <c r="I38" s="373">
        <f t="shared" si="1"/>
        <v>6723.1076400507836</v>
      </c>
      <c r="J38" s="373">
        <f t="shared" si="2"/>
        <v>137777.83746560209</v>
      </c>
      <c r="K38" s="371"/>
      <c r="L38" s="371"/>
      <c r="M38" s="371"/>
      <c r="N38" s="371"/>
      <c r="O38" s="371"/>
      <c r="P38" s="371"/>
      <c r="Q38" s="371"/>
      <c r="R38" s="371"/>
      <c r="S38" s="371"/>
      <c r="T38" s="371"/>
      <c r="U38" s="371"/>
      <c r="V38" s="371"/>
      <c r="W38" s="371"/>
      <c r="X38" s="371"/>
      <c r="Y38" s="371"/>
      <c r="Z38" s="371"/>
      <c r="AA38" s="371"/>
      <c r="AB38" s="371"/>
      <c r="AC38" s="372"/>
    </row>
    <row r="39" spans="1:29">
      <c r="A39" s="370"/>
      <c r="B39" s="370"/>
      <c r="C39" s="370"/>
      <c r="D39" s="371" t="s">
        <v>512</v>
      </c>
      <c r="E39" s="371"/>
      <c r="F39" s="375">
        <f t="shared" si="3"/>
        <v>131054.72982555132</v>
      </c>
      <c r="G39" s="380">
        <f t="shared" si="3"/>
        <v>5.4000000000000003E-3</v>
      </c>
      <c r="H39" s="371">
        <f t="shared" si="4"/>
        <v>8.5</v>
      </c>
      <c r="I39" s="373">
        <f t="shared" si="1"/>
        <v>6015.412098992806</v>
      </c>
      <c r="J39" s="373">
        <f t="shared" si="2"/>
        <v>137070.14192454412</v>
      </c>
      <c r="K39" s="371"/>
      <c r="L39" s="371"/>
      <c r="M39" s="371"/>
      <c r="N39" s="371"/>
      <c r="O39" s="371"/>
      <c r="P39" s="371"/>
      <c r="Q39" s="371"/>
      <c r="R39" s="371"/>
      <c r="S39" s="371"/>
      <c r="T39" s="371"/>
      <c r="U39" s="371"/>
      <c r="V39" s="371"/>
      <c r="W39" s="371"/>
      <c r="X39" s="371"/>
      <c r="Y39" s="371"/>
      <c r="Z39" s="371"/>
      <c r="AA39" s="371"/>
      <c r="AB39" s="371"/>
      <c r="AC39" s="372"/>
    </row>
    <row r="40" spans="1:29">
      <c r="A40" s="370"/>
      <c r="B40" s="370"/>
      <c r="C40" s="370"/>
      <c r="D40" s="371" t="s">
        <v>513</v>
      </c>
      <c r="E40" s="371"/>
      <c r="F40" s="375">
        <f t="shared" si="3"/>
        <v>131054.72982555132</v>
      </c>
      <c r="G40" s="380">
        <f t="shared" si="3"/>
        <v>5.4000000000000003E-3</v>
      </c>
      <c r="H40" s="371">
        <f t="shared" si="4"/>
        <v>7.5</v>
      </c>
      <c r="I40" s="373">
        <f t="shared" si="1"/>
        <v>5307.7165579348284</v>
      </c>
      <c r="J40" s="373">
        <f t="shared" si="2"/>
        <v>136362.44638348615</v>
      </c>
      <c r="K40" s="371"/>
      <c r="L40" s="371"/>
      <c r="M40" s="371"/>
      <c r="N40" s="371"/>
      <c r="O40" s="371"/>
      <c r="P40" s="371"/>
      <c r="Q40" s="371"/>
      <c r="R40" s="371"/>
      <c r="S40" s="371"/>
      <c r="T40" s="371"/>
      <c r="U40" s="371"/>
      <c r="V40" s="371"/>
      <c r="W40" s="371"/>
      <c r="X40" s="371"/>
      <c r="Y40" s="371"/>
      <c r="Z40" s="371"/>
      <c r="AA40" s="371"/>
      <c r="AB40" s="371"/>
      <c r="AC40" s="372"/>
    </row>
    <row r="41" spans="1:29">
      <c r="A41" s="370"/>
      <c r="B41" s="370"/>
      <c r="C41" s="370"/>
      <c r="D41" s="371" t="s">
        <v>514</v>
      </c>
      <c r="E41" s="371"/>
      <c r="F41" s="375">
        <f t="shared" si="3"/>
        <v>131054.72982555132</v>
      </c>
      <c r="G41" s="380">
        <f t="shared" si="3"/>
        <v>5.4000000000000003E-3</v>
      </c>
      <c r="H41" s="371">
        <f t="shared" si="4"/>
        <v>6.5</v>
      </c>
      <c r="I41" s="373">
        <f t="shared" si="1"/>
        <v>4600.0210168768508</v>
      </c>
      <c r="J41" s="373">
        <f t="shared" si="2"/>
        <v>135654.75084242816</v>
      </c>
      <c r="K41" s="371"/>
      <c r="L41" s="371"/>
      <c r="M41" s="371"/>
      <c r="N41" s="371"/>
      <c r="O41" s="371"/>
      <c r="P41" s="371"/>
      <c r="Q41" s="371"/>
      <c r="R41" s="371"/>
      <c r="S41" s="371"/>
      <c r="T41" s="371"/>
      <c r="U41" s="371"/>
      <c r="V41" s="371"/>
      <c r="W41" s="371"/>
      <c r="X41" s="371"/>
      <c r="Y41" s="371"/>
      <c r="Z41" s="371"/>
      <c r="AA41" s="371"/>
      <c r="AB41" s="371"/>
      <c r="AC41" s="372"/>
    </row>
    <row r="42" spans="1:29">
      <c r="A42" s="370"/>
      <c r="B42" s="370"/>
      <c r="C42" s="370"/>
      <c r="D42" s="371" t="s">
        <v>515</v>
      </c>
      <c r="E42" s="371"/>
      <c r="F42" s="375">
        <f t="shared" si="3"/>
        <v>131054.72982555132</v>
      </c>
      <c r="G42" s="380">
        <f t="shared" si="3"/>
        <v>5.4000000000000003E-3</v>
      </c>
      <c r="H42" s="371">
        <f t="shared" si="4"/>
        <v>5.5</v>
      </c>
      <c r="I42" s="373">
        <f t="shared" si="1"/>
        <v>3892.3254758188741</v>
      </c>
      <c r="J42" s="373">
        <f t="shared" si="2"/>
        <v>134947.05530137019</v>
      </c>
      <c r="K42" s="371"/>
      <c r="L42" s="371"/>
      <c r="M42" s="371"/>
      <c r="N42" s="371"/>
      <c r="O42" s="371"/>
      <c r="P42" s="371"/>
      <c r="Q42" s="371"/>
      <c r="R42" s="371"/>
      <c r="S42" s="371"/>
      <c r="T42" s="371"/>
      <c r="U42" s="371"/>
      <c r="V42" s="371"/>
      <c r="W42" s="371"/>
      <c r="X42" s="371"/>
      <c r="Y42" s="371"/>
      <c r="Z42" s="371"/>
      <c r="AA42" s="371"/>
      <c r="AB42" s="371"/>
      <c r="AC42" s="372"/>
    </row>
    <row r="43" spans="1:29">
      <c r="A43" s="370"/>
      <c r="B43" s="370"/>
      <c r="C43" s="370"/>
      <c r="D43" s="371" t="s">
        <v>505</v>
      </c>
      <c r="E43" s="371"/>
      <c r="F43" s="375">
        <f t="shared" ref="F43:G47" si="5">+F42</f>
        <v>131054.72982555132</v>
      </c>
      <c r="G43" s="380">
        <f t="shared" si="5"/>
        <v>5.4000000000000003E-3</v>
      </c>
      <c r="H43" s="371">
        <f t="shared" si="4"/>
        <v>4.5</v>
      </c>
      <c r="I43" s="373">
        <f t="shared" si="1"/>
        <v>3184.6299347608974</v>
      </c>
      <c r="J43" s="373">
        <f t="shared" si="2"/>
        <v>134239.35976031222</v>
      </c>
      <c r="K43" s="371"/>
      <c r="L43" s="371"/>
      <c r="M43" s="371"/>
      <c r="N43" s="371"/>
      <c r="O43" s="371"/>
      <c r="P43" s="371"/>
      <c r="Q43" s="371"/>
      <c r="R43" s="371"/>
      <c r="S43" s="371"/>
      <c r="T43" s="371"/>
      <c r="U43" s="371"/>
      <c r="V43" s="371"/>
      <c r="W43" s="371"/>
      <c r="X43" s="371"/>
      <c r="Y43" s="371"/>
      <c r="Z43" s="371"/>
      <c r="AA43" s="371"/>
      <c r="AB43" s="371"/>
      <c r="AC43" s="372"/>
    </row>
    <row r="44" spans="1:29">
      <c r="A44" s="370"/>
      <c r="B44" s="370"/>
      <c r="C44" s="370"/>
      <c r="D44" s="371" t="s">
        <v>506</v>
      </c>
      <c r="E44" s="371"/>
      <c r="F44" s="375">
        <f t="shared" si="5"/>
        <v>131054.72982555132</v>
      </c>
      <c r="G44" s="380">
        <f t="shared" si="5"/>
        <v>5.4000000000000003E-3</v>
      </c>
      <c r="H44" s="371">
        <f t="shared" si="4"/>
        <v>3.5</v>
      </c>
      <c r="I44" s="373">
        <f t="shared" si="1"/>
        <v>2476.9343937029198</v>
      </c>
      <c r="J44" s="373">
        <f t="shared" si="2"/>
        <v>133531.66421925425</v>
      </c>
      <c r="K44" s="371"/>
      <c r="L44" s="371"/>
      <c r="M44" s="371"/>
      <c r="N44" s="371"/>
      <c r="O44" s="371"/>
      <c r="P44" s="371"/>
      <c r="Q44" s="371"/>
      <c r="R44" s="371"/>
      <c r="S44" s="371"/>
      <c r="T44" s="371"/>
      <c r="U44" s="371"/>
      <c r="V44" s="371"/>
      <c r="W44" s="371"/>
      <c r="X44" s="371"/>
      <c r="Y44" s="371"/>
      <c r="Z44" s="371"/>
      <c r="AA44" s="371"/>
      <c r="AB44" s="371"/>
      <c r="AC44" s="372"/>
    </row>
    <row r="45" spans="1:29">
      <c r="A45" s="370"/>
      <c r="B45" s="370"/>
      <c r="C45" s="370"/>
      <c r="D45" s="371" t="s">
        <v>507</v>
      </c>
      <c r="E45" s="371"/>
      <c r="F45" s="375">
        <f t="shared" si="5"/>
        <v>131054.72982555132</v>
      </c>
      <c r="G45" s="380">
        <f t="shared" si="5"/>
        <v>5.4000000000000003E-3</v>
      </c>
      <c r="H45" s="371">
        <f t="shared" si="4"/>
        <v>2.5</v>
      </c>
      <c r="I45" s="373">
        <f t="shared" si="1"/>
        <v>1769.2388526449429</v>
      </c>
      <c r="J45" s="373">
        <f t="shared" si="2"/>
        <v>132823.96867819625</v>
      </c>
      <c r="K45" s="371"/>
      <c r="L45" s="371"/>
      <c r="M45" s="371"/>
      <c r="N45" s="371"/>
      <c r="O45" s="371"/>
      <c r="P45" s="371"/>
      <c r="Q45" s="371"/>
      <c r="R45" s="371"/>
      <c r="S45" s="371"/>
      <c r="T45" s="371"/>
      <c r="U45" s="371"/>
      <c r="V45" s="371"/>
      <c r="W45" s="371"/>
      <c r="X45" s="371"/>
      <c r="Y45" s="371"/>
      <c r="Z45" s="371"/>
      <c r="AA45" s="371"/>
      <c r="AB45" s="371"/>
      <c r="AC45" s="372"/>
    </row>
    <row r="46" spans="1:29">
      <c r="A46" s="370"/>
      <c r="B46" s="370"/>
      <c r="C46" s="370"/>
      <c r="D46" s="371" t="s">
        <v>508</v>
      </c>
      <c r="E46" s="371"/>
      <c r="F46" s="375">
        <f t="shared" si="5"/>
        <v>131054.72982555132</v>
      </c>
      <c r="G46" s="380">
        <f t="shared" si="5"/>
        <v>5.4000000000000003E-3</v>
      </c>
      <c r="H46" s="371">
        <f t="shared" si="4"/>
        <v>1.5</v>
      </c>
      <c r="I46" s="373">
        <f t="shared" si="1"/>
        <v>1061.5433115869655</v>
      </c>
      <c r="J46" s="373">
        <f t="shared" si="2"/>
        <v>132116.27313713828</v>
      </c>
      <c r="K46" s="371"/>
      <c r="L46" s="371"/>
      <c r="M46" s="371"/>
      <c r="N46" s="371"/>
      <c r="O46" s="371"/>
      <c r="P46" s="371"/>
      <c r="Q46" s="371"/>
      <c r="R46" s="371"/>
      <c r="S46" s="371"/>
      <c r="T46" s="371"/>
      <c r="U46" s="371"/>
      <c r="V46" s="371"/>
      <c r="W46" s="371"/>
      <c r="X46" s="371"/>
      <c r="Y46" s="371"/>
      <c r="Z46" s="371"/>
      <c r="AA46" s="371"/>
      <c r="AB46" s="371"/>
      <c r="AC46" s="372"/>
    </row>
    <row r="47" spans="1:29">
      <c r="A47" s="370"/>
      <c r="B47" s="370"/>
      <c r="C47" s="370"/>
      <c r="D47" s="371" t="s">
        <v>503</v>
      </c>
      <c r="E47" s="371"/>
      <c r="F47" s="375">
        <f t="shared" si="5"/>
        <v>131054.72982555132</v>
      </c>
      <c r="G47" s="380">
        <f t="shared" si="5"/>
        <v>5.4000000000000003E-3</v>
      </c>
      <c r="H47" s="371">
        <f t="shared" si="4"/>
        <v>0.5</v>
      </c>
      <c r="I47" s="373">
        <f t="shared" si="1"/>
        <v>353.84777052898858</v>
      </c>
      <c r="J47" s="373">
        <f t="shared" si="2"/>
        <v>131408.57759608031</v>
      </c>
      <c r="K47" s="371"/>
      <c r="L47" s="371"/>
      <c r="M47" s="371"/>
      <c r="N47" s="371"/>
      <c r="O47" s="371"/>
      <c r="P47" s="371"/>
      <c r="Q47" s="371"/>
      <c r="R47" s="371"/>
      <c r="S47" s="371"/>
      <c r="T47" s="371"/>
      <c r="U47" s="371"/>
      <c r="V47" s="371"/>
      <c r="W47" s="371"/>
      <c r="X47" s="371"/>
      <c r="Y47" s="371"/>
      <c r="Z47" s="371"/>
      <c r="AA47" s="371"/>
      <c r="AB47" s="371"/>
      <c r="AC47" s="372"/>
    </row>
    <row r="48" spans="1:29">
      <c r="A48" s="370"/>
      <c r="B48" s="370"/>
      <c r="C48" s="370"/>
      <c r="D48" s="371" t="s">
        <v>292</v>
      </c>
      <c r="E48" s="371"/>
      <c r="F48" s="375">
        <f>SUM(F36:F47)</f>
        <v>1572656.757906616</v>
      </c>
      <c r="G48" s="371"/>
      <c r="H48" s="371"/>
      <c r="I48" s="371"/>
      <c r="J48" s="373">
        <f>SUM(J36:J47)</f>
        <v>1623610.8368627899</v>
      </c>
      <c r="K48" s="371"/>
      <c r="L48" s="371"/>
      <c r="M48" s="371"/>
      <c r="N48" s="371"/>
      <c r="O48" s="371"/>
      <c r="P48" s="371"/>
      <c r="Q48" s="371"/>
      <c r="R48" s="371"/>
      <c r="S48" s="371"/>
      <c r="T48" s="371"/>
      <c r="U48" s="371"/>
      <c r="V48" s="371"/>
      <c r="W48" s="371"/>
      <c r="X48" s="371"/>
      <c r="Y48" s="371"/>
      <c r="Z48" s="371"/>
      <c r="AA48" s="371"/>
      <c r="AB48" s="371"/>
      <c r="AC48" s="372"/>
    </row>
    <row r="49" spans="1:29">
      <c r="A49" s="370"/>
      <c r="B49" s="370"/>
      <c r="C49" s="370"/>
      <c r="D49" s="371"/>
      <c r="E49" s="371"/>
      <c r="F49" s="375"/>
      <c r="G49" s="371"/>
      <c r="H49" s="371"/>
      <c r="I49" s="371"/>
      <c r="J49" s="373"/>
      <c r="K49" s="375"/>
      <c r="L49" s="371"/>
      <c r="M49" s="371"/>
      <c r="N49" s="371"/>
      <c r="O49" s="371"/>
      <c r="P49" s="371"/>
      <c r="Q49" s="371"/>
      <c r="R49" s="371"/>
      <c r="S49" s="371"/>
      <c r="T49" s="371"/>
      <c r="U49" s="371"/>
      <c r="V49" s="371"/>
      <c r="W49" s="371"/>
      <c r="X49" s="371"/>
      <c r="Y49" s="371"/>
      <c r="Z49" s="371"/>
      <c r="AA49" s="371"/>
      <c r="AB49" s="371"/>
      <c r="AC49" s="372"/>
    </row>
    <row r="50" spans="1:29">
      <c r="A50" s="370"/>
      <c r="B50" s="370"/>
      <c r="C50" s="370"/>
      <c r="D50" s="371"/>
      <c r="E50" s="371"/>
      <c r="F50" s="379" t="s">
        <v>524</v>
      </c>
      <c r="G50" s="370" t="s">
        <v>520</v>
      </c>
      <c r="H50" s="370" t="s">
        <v>525</v>
      </c>
      <c r="I50" s="370" t="s">
        <v>524</v>
      </c>
      <c r="J50" s="371"/>
      <c r="K50" s="375"/>
      <c r="L50" s="371"/>
      <c r="M50" s="371"/>
      <c r="N50" s="371"/>
      <c r="O50" s="371"/>
      <c r="P50" s="371"/>
      <c r="Q50" s="371"/>
      <c r="R50" s="371"/>
      <c r="S50" s="371"/>
      <c r="T50" s="371"/>
      <c r="U50" s="371"/>
      <c r="V50" s="371"/>
      <c r="W50" s="371"/>
      <c r="X50" s="371"/>
      <c r="Y50" s="371"/>
      <c r="Z50" s="371"/>
      <c r="AA50" s="371"/>
      <c r="AB50" s="371"/>
      <c r="AC50" s="372"/>
    </row>
    <row r="51" spans="1:29">
      <c r="A51" s="370"/>
      <c r="B51" s="370"/>
      <c r="C51" s="370"/>
      <c r="D51" s="371" t="str">
        <f t="shared" ref="D51:D62" si="6">+D36</f>
        <v>Jun</v>
      </c>
      <c r="E51" s="371"/>
      <c r="F51" s="375">
        <f>+J48</f>
        <v>1623610.8368627899</v>
      </c>
      <c r="G51" s="380">
        <f>+G47</f>
        <v>5.4000000000000003E-3</v>
      </c>
      <c r="H51" s="373">
        <f>-PMT(G51,12,J48)</f>
        <v>140096.85070706037</v>
      </c>
      <c r="I51" s="373">
        <f t="shared" ref="I51:I62" si="7">+F51+F51*G51-H51</f>
        <v>1492281.4846747885</v>
      </c>
      <c r="J51" s="371"/>
      <c r="K51" s="375"/>
      <c r="L51" s="371"/>
      <c r="M51" s="371"/>
      <c r="N51" s="371"/>
      <c r="O51" s="371"/>
      <c r="P51" s="371"/>
      <c r="Q51" s="371"/>
      <c r="R51" s="371"/>
      <c r="S51" s="371"/>
      <c r="T51" s="371"/>
      <c r="U51" s="371"/>
      <c r="V51" s="371"/>
      <c r="W51" s="371"/>
      <c r="X51" s="371"/>
      <c r="Y51" s="371"/>
      <c r="Z51" s="371"/>
      <c r="AA51" s="371"/>
      <c r="AB51" s="371"/>
      <c r="AC51" s="372"/>
    </row>
    <row r="52" spans="1:29">
      <c r="A52" s="370"/>
      <c r="B52" s="370"/>
      <c r="C52" s="370"/>
      <c r="D52" s="371" t="str">
        <f t="shared" si="6"/>
        <v>Jul</v>
      </c>
      <c r="E52" s="371"/>
      <c r="F52" s="375">
        <f t="shared" ref="F52:F62" si="8">+I51</f>
        <v>1492281.4846747885</v>
      </c>
      <c r="G52" s="380">
        <f t="shared" ref="G52:G62" si="9">+G51</f>
        <v>5.4000000000000003E-3</v>
      </c>
      <c r="H52" s="375">
        <f t="shared" ref="H52:H62" si="10">+H51</f>
        <v>140096.85070706037</v>
      </c>
      <c r="I52" s="373">
        <f t="shared" si="7"/>
        <v>1360242.9539849721</v>
      </c>
      <c r="J52" s="371"/>
      <c r="K52" s="371"/>
      <c r="L52" s="371"/>
      <c r="M52" s="371"/>
      <c r="N52" s="371"/>
      <c r="O52" s="371"/>
      <c r="P52" s="371"/>
      <c r="Q52" s="371"/>
      <c r="R52" s="371"/>
      <c r="S52" s="371"/>
      <c r="T52" s="371"/>
      <c r="U52" s="371"/>
      <c r="V52" s="371"/>
      <c r="W52" s="371"/>
      <c r="X52" s="371"/>
      <c r="Y52" s="371"/>
      <c r="Z52" s="371"/>
      <c r="AA52" s="371"/>
      <c r="AB52" s="371"/>
      <c r="AC52" s="372"/>
    </row>
    <row r="53" spans="1:29">
      <c r="A53" s="370"/>
      <c r="B53" s="370"/>
      <c r="C53" s="370"/>
      <c r="D53" s="371" t="str">
        <f t="shared" si="6"/>
        <v>Aug</v>
      </c>
      <c r="E53" s="371"/>
      <c r="F53" s="375">
        <f t="shared" si="8"/>
        <v>1360242.9539849721</v>
      </c>
      <c r="G53" s="380">
        <f t="shared" si="9"/>
        <v>5.4000000000000003E-3</v>
      </c>
      <c r="H53" s="375">
        <f t="shared" si="10"/>
        <v>140096.85070706037</v>
      </c>
      <c r="I53" s="373">
        <f t="shared" si="7"/>
        <v>1227491.4152294304</v>
      </c>
      <c r="J53" s="371"/>
      <c r="K53" s="371"/>
      <c r="L53" s="371"/>
      <c r="M53" s="371"/>
      <c r="N53" s="371"/>
      <c r="O53" s="371"/>
      <c r="P53" s="371"/>
      <c r="Q53" s="371"/>
      <c r="R53" s="371"/>
      <c r="S53" s="371"/>
      <c r="T53" s="371"/>
      <c r="U53" s="371"/>
      <c r="V53" s="371"/>
      <c r="W53" s="371"/>
      <c r="X53" s="371"/>
      <c r="Y53" s="371"/>
      <c r="Z53" s="371"/>
      <c r="AA53" s="371"/>
      <c r="AB53" s="371"/>
      <c r="AC53" s="372"/>
    </row>
    <row r="54" spans="1:29">
      <c r="A54" s="370"/>
      <c r="B54" s="370"/>
      <c r="C54" s="370"/>
      <c r="D54" s="371" t="str">
        <f t="shared" si="6"/>
        <v>Sep</v>
      </c>
      <c r="E54" s="371"/>
      <c r="F54" s="375">
        <f t="shared" si="8"/>
        <v>1227491.4152294304</v>
      </c>
      <c r="G54" s="380">
        <f t="shared" si="9"/>
        <v>5.4000000000000003E-3</v>
      </c>
      <c r="H54" s="375">
        <f t="shared" si="10"/>
        <v>140096.85070706037</v>
      </c>
      <c r="I54" s="373">
        <f t="shared" si="7"/>
        <v>1094023.0181646089</v>
      </c>
      <c r="J54" s="371"/>
      <c r="K54" s="381"/>
      <c r="L54" s="371"/>
      <c r="M54" s="371"/>
      <c r="N54" s="371"/>
      <c r="O54" s="371"/>
      <c r="P54" s="371"/>
      <c r="Q54" s="371"/>
      <c r="R54" s="371"/>
      <c r="S54" s="371"/>
      <c r="T54" s="371"/>
      <c r="U54" s="371"/>
      <c r="V54" s="371"/>
      <c r="W54" s="371"/>
      <c r="X54" s="371"/>
      <c r="Y54" s="371"/>
      <c r="Z54" s="371"/>
      <c r="AA54" s="371"/>
      <c r="AB54" s="371"/>
      <c r="AC54" s="372"/>
    </row>
    <row r="55" spans="1:29">
      <c r="A55" s="370"/>
      <c r="B55" s="370"/>
      <c r="C55" s="370"/>
      <c r="D55" s="371" t="str">
        <f t="shared" si="6"/>
        <v>Oct</v>
      </c>
      <c r="E55" s="371"/>
      <c r="F55" s="375">
        <f t="shared" si="8"/>
        <v>1094023.0181646089</v>
      </c>
      <c r="G55" s="380">
        <f t="shared" si="9"/>
        <v>5.4000000000000003E-3</v>
      </c>
      <c r="H55" s="375">
        <f t="shared" si="10"/>
        <v>140096.85070706037</v>
      </c>
      <c r="I55" s="373">
        <f t="shared" si="7"/>
        <v>959833.89175563725</v>
      </c>
      <c r="J55" s="371"/>
      <c r="K55" s="380"/>
      <c r="L55" s="371"/>
      <c r="M55" s="371"/>
      <c r="N55" s="371"/>
      <c r="O55" s="371"/>
      <c r="P55" s="371"/>
      <c r="Q55" s="371"/>
      <c r="R55" s="371"/>
      <c r="S55" s="371"/>
      <c r="T55" s="371"/>
      <c r="U55" s="371"/>
      <c r="V55" s="371"/>
      <c r="W55" s="371"/>
      <c r="X55" s="371"/>
      <c r="Y55" s="371"/>
      <c r="Z55" s="371"/>
      <c r="AA55" s="371"/>
      <c r="AB55" s="371"/>
      <c r="AC55" s="372"/>
    </row>
    <row r="56" spans="1:29">
      <c r="A56" s="370"/>
      <c r="B56" s="370"/>
      <c r="C56" s="370"/>
      <c r="D56" s="371" t="str">
        <f t="shared" si="6"/>
        <v>Nov</v>
      </c>
      <c r="E56" s="371"/>
      <c r="F56" s="375">
        <f t="shared" si="8"/>
        <v>959833.89175563725</v>
      </c>
      <c r="G56" s="380">
        <f t="shared" si="9"/>
        <v>5.4000000000000003E-3</v>
      </c>
      <c r="H56" s="375">
        <f t="shared" si="10"/>
        <v>140096.85070706037</v>
      </c>
      <c r="I56" s="373">
        <f t="shared" si="7"/>
        <v>824920.14406405739</v>
      </c>
      <c r="J56" s="371"/>
      <c r="K56" s="371"/>
      <c r="L56" s="371"/>
      <c r="M56" s="371"/>
      <c r="N56" s="371"/>
      <c r="O56" s="371"/>
      <c r="P56" s="371"/>
      <c r="Q56" s="371"/>
      <c r="R56" s="371"/>
      <c r="S56" s="371"/>
      <c r="T56" s="371"/>
      <c r="U56" s="371"/>
      <c r="V56" s="371"/>
      <c r="W56" s="371"/>
      <c r="X56" s="371"/>
      <c r="Y56" s="371"/>
      <c r="Z56" s="371"/>
      <c r="AA56" s="371"/>
      <c r="AB56" s="371"/>
      <c r="AC56" s="372"/>
    </row>
    <row r="57" spans="1:29">
      <c r="A57" s="370"/>
      <c r="B57" s="370"/>
      <c r="C57" s="370"/>
      <c r="D57" s="371" t="str">
        <f t="shared" si="6"/>
        <v>Dec</v>
      </c>
      <c r="E57" s="371"/>
      <c r="F57" s="375">
        <f t="shared" si="8"/>
        <v>824920.14406405739</v>
      </c>
      <c r="G57" s="380">
        <f t="shared" si="9"/>
        <v>5.4000000000000003E-3</v>
      </c>
      <c r="H57" s="375">
        <f t="shared" si="10"/>
        <v>140096.85070706037</v>
      </c>
      <c r="I57" s="373">
        <f t="shared" si="7"/>
        <v>689277.86213494302</v>
      </c>
      <c r="J57" s="371"/>
      <c r="K57" s="371"/>
      <c r="L57" s="371"/>
      <c r="M57" s="371"/>
      <c r="N57" s="371"/>
      <c r="O57" s="371"/>
      <c r="P57" s="371"/>
      <c r="Q57" s="371"/>
      <c r="R57" s="371"/>
      <c r="S57" s="371"/>
      <c r="T57" s="371"/>
      <c r="U57" s="371"/>
      <c r="V57" s="371"/>
      <c r="W57" s="371"/>
      <c r="X57" s="371"/>
      <c r="Y57" s="371"/>
      <c r="Z57" s="371"/>
      <c r="AA57" s="371"/>
      <c r="AB57" s="371"/>
      <c r="AC57" s="372"/>
    </row>
    <row r="58" spans="1:29">
      <c r="A58" s="370"/>
      <c r="B58" s="370"/>
      <c r="C58" s="370"/>
      <c r="D58" s="371" t="str">
        <f t="shared" si="6"/>
        <v>Jan</v>
      </c>
      <c r="E58" s="371"/>
      <c r="F58" s="375">
        <f t="shared" si="8"/>
        <v>689277.86213494302</v>
      </c>
      <c r="G58" s="380">
        <f t="shared" si="9"/>
        <v>5.4000000000000003E-3</v>
      </c>
      <c r="H58" s="375">
        <f t="shared" si="10"/>
        <v>140096.85070706037</v>
      </c>
      <c r="I58" s="373">
        <f t="shared" si="7"/>
        <v>552903.11188341142</v>
      </c>
      <c r="J58" s="371"/>
      <c r="K58" s="371"/>
      <c r="L58" s="371"/>
      <c r="M58" s="371"/>
      <c r="N58" s="371"/>
      <c r="O58" s="371"/>
      <c r="P58" s="371"/>
      <c r="Q58" s="371"/>
      <c r="R58" s="371"/>
      <c r="S58" s="371"/>
      <c r="T58" s="371"/>
      <c r="U58" s="371"/>
      <c r="V58" s="371"/>
      <c r="W58" s="371"/>
      <c r="X58" s="371"/>
      <c r="Y58" s="371"/>
      <c r="Z58" s="371"/>
      <c r="AA58" s="371"/>
      <c r="AB58" s="371"/>
      <c r="AC58" s="372"/>
    </row>
    <row r="59" spans="1:29">
      <c r="A59" s="370"/>
      <c r="B59" s="370"/>
      <c r="C59" s="370"/>
      <c r="D59" s="371" t="str">
        <f t="shared" si="6"/>
        <v>Feb</v>
      </c>
      <c r="E59" s="371"/>
      <c r="F59" s="375">
        <f t="shared" si="8"/>
        <v>552903.11188341142</v>
      </c>
      <c r="G59" s="380">
        <f t="shared" si="9"/>
        <v>5.4000000000000003E-3</v>
      </c>
      <c r="H59" s="375">
        <f t="shared" si="10"/>
        <v>140096.85070706037</v>
      </c>
      <c r="I59" s="373">
        <f t="shared" si="7"/>
        <v>415791.93798052153</v>
      </c>
      <c r="J59" s="371"/>
      <c r="K59" s="371"/>
      <c r="L59" s="371"/>
      <c r="M59" s="371"/>
      <c r="N59" s="371"/>
      <c r="O59" s="371"/>
      <c r="P59" s="371"/>
      <c r="Q59" s="371"/>
      <c r="R59" s="371"/>
      <c r="S59" s="371"/>
      <c r="T59" s="371"/>
      <c r="U59" s="371"/>
      <c r="V59" s="371"/>
      <c r="W59" s="371"/>
      <c r="X59" s="371"/>
      <c r="Y59" s="371"/>
      <c r="Z59" s="371"/>
      <c r="AA59" s="371"/>
      <c r="AB59" s="371"/>
      <c r="AC59" s="372"/>
    </row>
    <row r="60" spans="1:29">
      <c r="A60" s="370"/>
      <c r="B60" s="370"/>
      <c r="C60" s="370"/>
      <c r="D60" s="371" t="str">
        <f t="shared" si="6"/>
        <v>Mar</v>
      </c>
      <c r="E60" s="371"/>
      <c r="F60" s="375">
        <f t="shared" si="8"/>
        <v>415791.93798052153</v>
      </c>
      <c r="G60" s="380">
        <f t="shared" si="9"/>
        <v>5.4000000000000003E-3</v>
      </c>
      <c r="H60" s="375">
        <f t="shared" si="10"/>
        <v>140096.85070706037</v>
      </c>
      <c r="I60" s="373">
        <f t="shared" si="7"/>
        <v>277940.36373855599</v>
      </c>
      <c r="J60" s="371"/>
      <c r="K60" s="371"/>
      <c r="L60" s="371"/>
      <c r="M60" s="371"/>
      <c r="N60" s="371"/>
      <c r="O60" s="371"/>
      <c r="P60" s="371"/>
      <c r="Q60" s="371"/>
      <c r="R60" s="371"/>
      <c r="S60" s="371"/>
      <c r="T60" s="371"/>
      <c r="U60" s="371"/>
      <c r="V60" s="371"/>
      <c r="W60" s="371"/>
      <c r="X60" s="371"/>
      <c r="Y60" s="371"/>
      <c r="Z60" s="371"/>
      <c r="AA60" s="371"/>
      <c r="AB60" s="371"/>
      <c r="AC60" s="372"/>
    </row>
    <row r="61" spans="1:29">
      <c r="A61" s="370"/>
      <c r="B61" s="370"/>
      <c r="C61" s="370"/>
      <c r="D61" s="371" t="str">
        <f t="shared" si="6"/>
        <v>Apr</v>
      </c>
      <c r="E61" s="371"/>
      <c r="F61" s="375">
        <f t="shared" si="8"/>
        <v>277940.36373855599</v>
      </c>
      <c r="G61" s="380">
        <f t="shared" si="9"/>
        <v>5.4000000000000003E-3</v>
      </c>
      <c r="H61" s="375">
        <f t="shared" si="10"/>
        <v>140096.85070706037</v>
      </c>
      <c r="I61" s="373">
        <f t="shared" si="7"/>
        <v>139344.39099568385</v>
      </c>
      <c r="J61" s="371"/>
      <c r="K61" s="371"/>
      <c r="L61" s="371"/>
      <c r="M61" s="371"/>
      <c r="N61" s="371"/>
      <c r="O61" s="371"/>
      <c r="P61" s="371"/>
      <c r="Q61" s="371"/>
      <c r="R61" s="371"/>
      <c r="S61" s="371"/>
      <c r="T61" s="371"/>
      <c r="U61" s="371"/>
      <c r="V61" s="371"/>
      <c r="W61" s="371"/>
      <c r="X61" s="371"/>
      <c r="Y61" s="371"/>
      <c r="Z61" s="371"/>
      <c r="AA61" s="371"/>
      <c r="AB61" s="371"/>
      <c r="AC61" s="372"/>
    </row>
    <row r="62" spans="1:29">
      <c r="A62" s="370"/>
      <c r="B62" s="370"/>
      <c r="C62" s="370"/>
      <c r="D62" s="371" t="str">
        <f t="shared" si="6"/>
        <v>May</v>
      </c>
      <c r="E62" s="371"/>
      <c r="F62" s="375">
        <f t="shared" si="8"/>
        <v>139344.39099568385</v>
      </c>
      <c r="G62" s="380">
        <f t="shared" si="9"/>
        <v>5.4000000000000003E-3</v>
      </c>
      <c r="H62" s="375">
        <f t="shared" si="10"/>
        <v>140096.85070706037</v>
      </c>
      <c r="I62" s="373">
        <f t="shared" si="7"/>
        <v>0</v>
      </c>
      <c r="J62" s="371"/>
      <c r="K62" s="371"/>
      <c r="L62" s="371"/>
      <c r="M62" s="371"/>
      <c r="N62" s="371"/>
      <c r="O62" s="371"/>
      <c r="P62" s="371"/>
      <c r="Q62" s="371"/>
      <c r="R62" s="371"/>
      <c r="S62" s="371"/>
      <c r="T62" s="371"/>
      <c r="U62" s="371"/>
      <c r="V62" s="371"/>
      <c r="W62" s="371"/>
      <c r="X62" s="371"/>
      <c r="Y62" s="371"/>
      <c r="Z62" s="371"/>
      <c r="AA62" s="371"/>
      <c r="AB62" s="371"/>
      <c r="AC62" s="372"/>
    </row>
    <row r="63" spans="1:29">
      <c r="A63" s="370"/>
      <c r="B63" s="370"/>
      <c r="C63" s="370"/>
      <c r="D63" s="371" t="s">
        <v>563</v>
      </c>
      <c r="E63" s="371"/>
      <c r="F63" s="371"/>
      <c r="G63" s="371"/>
      <c r="H63" s="375">
        <f>SUM(H51:H62)</f>
        <v>1681162.2084847249</v>
      </c>
      <c r="I63" s="371"/>
      <c r="J63" s="375"/>
      <c r="K63" s="375"/>
      <c r="L63" s="371"/>
      <c r="M63" s="371"/>
      <c r="N63" s="371"/>
      <c r="O63" s="371"/>
      <c r="P63" s="371"/>
      <c r="Q63" s="371"/>
      <c r="R63" s="371"/>
      <c r="S63" s="371"/>
      <c r="T63" s="371"/>
      <c r="U63" s="371"/>
      <c r="V63" s="371"/>
      <c r="W63" s="371"/>
      <c r="X63" s="371"/>
      <c r="Y63" s="371"/>
      <c r="Z63" s="371"/>
      <c r="AA63" s="371"/>
      <c r="AB63" s="371"/>
      <c r="AC63" s="372"/>
    </row>
    <row r="64" spans="1:29">
      <c r="A64" s="370"/>
      <c r="B64" s="370"/>
      <c r="C64" s="370"/>
      <c r="D64" s="371"/>
      <c r="E64" s="371"/>
      <c r="F64" s="371"/>
      <c r="G64" s="371"/>
      <c r="H64" s="371"/>
      <c r="I64" s="371"/>
      <c r="J64" s="375"/>
      <c r="K64" s="371"/>
      <c r="L64" s="371"/>
      <c r="M64" s="371"/>
      <c r="N64" s="371"/>
      <c r="O64" s="371"/>
      <c r="P64" s="371"/>
      <c r="Q64" s="371"/>
      <c r="R64" s="371"/>
      <c r="S64" s="371"/>
      <c r="T64" s="371"/>
      <c r="U64" s="371"/>
      <c r="V64" s="371"/>
      <c r="W64" s="371"/>
      <c r="X64" s="371"/>
      <c r="Y64" s="371"/>
      <c r="Z64" s="371"/>
      <c r="AA64" s="371"/>
      <c r="AB64" s="371"/>
      <c r="AC64" s="372"/>
    </row>
    <row r="65" spans="1:29">
      <c r="A65" s="370"/>
      <c r="B65" s="370"/>
      <c r="C65" s="370"/>
      <c r="D65" s="371" t="s">
        <v>1490</v>
      </c>
      <c r="E65" s="371"/>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2"/>
    </row>
    <row r="66" spans="1:29">
      <c r="B66" s="370"/>
      <c r="C66" s="370"/>
      <c r="D66" s="1646" t="s">
        <v>1449</v>
      </c>
      <c r="E66" s="1646"/>
      <c r="F66" s="1646"/>
      <c r="G66" s="1646"/>
      <c r="H66" s="375">
        <f>+H63</f>
        <v>1681162.2084847249</v>
      </c>
      <c r="I66" s="370"/>
      <c r="J66" s="375"/>
      <c r="K66" s="375"/>
      <c r="L66" s="371"/>
      <c r="M66" s="371"/>
      <c r="N66" s="371"/>
      <c r="O66" s="371"/>
      <c r="P66" s="371"/>
      <c r="Q66" s="371"/>
      <c r="R66" s="371"/>
      <c r="S66" s="371"/>
      <c r="T66" s="371"/>
      <c r="U66" s="371"/>
      <c r="V66" s="371"/>
      <c r="W66" s="371"/>
      <c r="X66" s="371"/>
      <c r="Y66" s="371"/>
      <c r="Z66" s="371"/>
      <c r="AA66" s="371"/>
      <c r="AB66" s="371"/>
      <c r="AC66" s="372"/>
    </row>
    <row r="67" spans="1:29">
      <c r="A67" s="894"/>
      <c r="B67" s="370"/>
      <c r="C67" s="370"/>
      <c r="D67" s="895" t="s">
        <v>1625</v>
      </c>
      <c r="E67" s="896"/>
      <c r="F67" s="897"/>
      <c r="G67" s="898"/>
      <c r="H67" s="899">
        <f>-6500000-5674</f>
        <v>-6505674</v>
      </c>
      <c r="I67" s="426"/>
      <c r="J67" s="1505"/>
      <c r="K67" s="1505"/>
      <c r="L67" s="385"/>
      <c r="M67" s="385"/>
      <c r="N67" s="371"/>
      <c r="O67" s="371"/>
      <c r="P67" s="371"/>
      <c r="Q67" s="371"/>
      <c r="R67" s="371"/>
      <c r="S67" s="371"/>
      <c r="T67" s="371"/>
      <c r="U67" s="371"/>
      <c r="V67" s="371"/>
      <c r="W67" s="371"/>
      <c r="X67" s="371"/>
      <c r="Y67" s="371"/>
      <c r="Z67" s="371"/>
      <c r="AA67" s="371"/>
      <c r="AB67" s="371"/>
      <c r="AC67" s="372"/>
    </row>
    <row r="68" spans="1:29">
      <c r="A68" s="894"/>
      <c r="B68" s="370"/>
      <c r="C68" s="370"/>
      <c r="D68" s="1353"/>
      <c r="E68" s="1354"/>
      <c r="F68" s="1355"/>
      <c r="G68" s="1354" t="s">
        <v>984</v>
      </c>
      <c r="H68" s="383">
        <f>+H66+H67</f>
        <v>-4824511.7915152749</v>
      </c>
      <c r="I68" s="370"/>
      <c r="J68" s="375"/>
      <c r="K68" s="375"/>
      <c r="L68" s="371"/>
      <c r="M68" s="371"/>
      <c r="N68" s="371"/>
      <c r="O68" s="371"/>
      <c r="P68" s="371"/>
      <c r="Q68" s="371"/>
      <c r="R68" s="371"/>
      <c r="S68" s="371"/>
      <c r="T68" s="371"/>
      <c r="U68" s="371"/>
      <c r="V68" s="371"/>
      <c r="W68" s="371"/>
      <c r="X68" s="371"/>
      <c r="Y68" s="371"/>
      <c r="Z68" s="371"/>
      <c r="AA68" s="371"/>
      <c r="AB68" s="371"/>
      <c r="AC68" s="372"/>
    </row>
    <row r="69" spans="1:29">
      <c r="B69" s="370"/>
      <c r="C69" s="370"/>
      <c r="D69" s="387" t="s">
        <v>1441</v>
      </c>
      <c r="E69" s="370"/>
      <c r="G69" s="370"/>
      <c r="H69" s="449"/>
      <c r="I69" s="450"/>
      <c r="J69" s="386"/>
      <c r="K69" s="371"/>
      <c r="L69" s="371"/>
      <c r="M69" s="371"/>
      <c r="N69" s="371"/>
      <c r="O69" s="371"/>
      <c r="P69" s="371"/>
      <c r="Q69" s="371"/>
      <c r="R69" s="371"/>
      <c r="S69" s="371"/>
      <c r="T69" s="371"/>
      <c r="U69" s="371"/>
      <c r="V69" s="371"/>
      <c r="W69" s="371"/>
      <c r="X69" s="371"/>
      <c r="Y69" s="371"/>
      <c r="Z69" s="371"/>
      <c r="AA69" s="371"/>
      <c r="AB69" s="371"/>
      <c r="AC69" s="372"/>
    </row>
    <row r="70" spans="1:29">
      <c r="B70" s="370"/>
      <c r="C70" s="370"/>
      <c r="D70" s="387" t="s">
        <v>1442</v>
      </c>
      <c r="E70" s="370"/>
      <c r="G70" s="370"/>
      <c r="H70" s="375"/>
      <c r="I70" s="448"/>
      <c r="J70" s="386"/>
      <c r="K70" s="371"/>
      <c r="L70" s="371"/>
      <c r="M70" s="371"/>
      <c r="N70" s="371"/>
      <c r="O70" s="371"/>
      <c r="P70" s="371"/>
      <c r="Q70" s="371"/>
      <c r="R70" s="371"/>
      <c r="S70" s="371"/>
      <c r="T70" s="371"/>
      <c r="U70" s="371"/>
      <c r="V70" s="371"/>
      <c r="W70" s="371"/>
      <c r="X70" s="371"/>
      <c r="Y70" s="371"/>
      <c r="Z70" s="371"/>
      <c r="AA70" s="371"/>
      <c r="AB70" s="371"/>
      <c r="AC70" s="372"/>
    </row>
    <row r="71" spans="1:29">
      <c r="B71" s="370"/>
      <c r="C71" s="370"/>
      <c r="D71" s="377"/>
      <c r="E71" s="370"/>
      <c r="G71" s="370"/>
      <c r="H71" s="386"/>
      <c r="I71" s="813"/>
      <c r="J71" s="386"/>
      <c r="K71" s="371"/>
      <c r="L71" s="371"/>
      <c r="M71" s="371"/>
      <c r="N71" s="371"/>
      <c r="O71" s="371"/>
      <c r="P71" s="371"/>
      <c r="Q71" s="371"/>
      <c r="R71" s="371"/>
      <c r="S71" s="371"/>
      <c r="T71" s="371"/>
      <c r="U71" s="371"/>
      <c r="V71" s="371"/>
      <c r="W71" s="371"/>
      <c r="X71" s="371"/>
      <c r="Y71" s="371"/>
      <c r="Z71" s="371"/>
      <c r="AA71" s="371"/>
      <c r="AB71" s="371"/>
      <c r="AC71" s="372"/>
    </row>
    <row r="72" spans="1:29">
      <c r="A72" s="370"/>
      <c r="B72" s="370"/>
      <c r="C72" s="370"/>
      <c r="D72" s="377"/>
      <c r="E72" s="370"/>
      <c r="F72" s="375"/>
      <c r="G72" s="370"/>
      <c r="H72" s="386"/>
      <c r="I72" s="778"/>
      <c r="J72" s="386"/>
      <c r="K72" s="371"/>
      <c r="L72" s="371"/>
      <c r="M72" s="371"/>
      <c r="N72" s="371"/>
      <c r="O72" s="371"/>
      <c r="P72" s="371"/>
      <c r="Q72" s="371"/>
      <c r="R72" s="371"/>
      <c r="S72" s="371"/>
      <c r="T72" s="371"/>
      <c r="U72" s="371"/>
      <c r="V72" s="371"/>
      <c r="W72" s="371"/>
      <c r="X72" s="371"/>
      <c r="Y72" s="371"/>
      <c r="Z72" s="371"/>
      <c r="AA72" s="371"/>
      <c r="AB72" s="371"/>
      <c r="AC72" s="372"/>
    </row>
    <row r="73" spans="1:29">
      <c r="A73" s="370"/>
      <c r="B73" s="370"/>
      <c r="C73" s="370"/>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2"/>
    </row>
    <row r="74" spans="1:29">
      <c r="A74" s="370"/>
      <c r="B74" s="370"/>
      <c r="C74" s="370"/>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2"/>
    </row>
    <row r="75" spans="1:29">
      <c r="A75" s="370"/>
      <c r="B75" s="370"/>
      <c r="C75" s="370"/>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2"/>
    </row>
    <row r="76" spans="1:29">
      <c r="A76" s="370"/>
      <c r="B76" s="370"/>
      <c r="C76" s="370"/>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2"/>
    </row>
    <row r="77" spans="1:29">
      <c r="A77" s="370"/>
      <c r="B77" s="370"/>
      <c r="C77" s="370"/>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2"/>
    </row>
    <row r="78" spans="1:29">
      <c r="A78" s="370"/>
      <c r="B78" s="370"/>
      <c r="C78" s="370"/>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2"/>
    </row>
    <row r="79" spans="1:29">
      <c r="A79" s="370"/>
      <c r="B79" s="370"/>
      <c r="C79" s="370"/>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2"/>
    </row>
    <row r="80" spans="1:29">
      <c r="A80" s="370"/>
      <c r="B80" s="370"/>
      <c r="C80" s="370"/>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2"/>
    </row>
    <row r="81" spans="1:29">
      <c r="A81" s="370"/>
      <c r="B81" s="370"/>
      <c r="C81" s="370"/>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2"/>
    </row>
    <row r="82" spans="1:29">
      <c r="A82" s="370"/>
      <c r="B82" s="370"/>
      <c r="C82" s="370"/>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2"/>
    </row>
    <row r="83" spans="1:29" ht="15.5">
      <c r="A83" s="357"/>
      <c r="B83" s="370"/>
      <c r="C83" s="370"/>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2"/>
    </row>
    <row r="84" spans="1:29" ht="15.5">
      <c r="A84" s="357"/>
      <c r="B84" s="370"/>
      <c r="C84" s="370"/>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2"/>
    </row>
    <row r="85" spans="1:29" ht="15.5">
      <c r="A85" s="357"/>
      <c r="B85" s="357"/>
      <c r="C85" s="357"/>
      <c r="D85" s="356"/>
      <c r="E85" s="356"/>
      <c r="F85" s="356"/>
      <c r="G85" s="356"/>
      <c r="H85" s="356"/>
      <c r="I85" s="356"/>
      <c r="J85" s="356"/>
      <c r="K85" s="356"/>
      <c r="L85" s="356"/>
      <c r="M85" s="356"/>
      <c r="N85" s="356"/>
      <c r="O85" s="356"/>
      <c r="P85" s="356"/>
      <c r="Q85" s="356"/>
      <c r="R85" s="356"/>
      <c r="S85" s="356"/>
      <c r="T85" s="356"/>
      <c r="U85" s="356"/>
      <c r="V85" s="356"/>
      <c r="W85" s="356"/>
      <c r="X85" s="356"/>
      <c r="Y85" s="356"/>
      <c r="Z85" s="356"/>
      <c r="AA85" s="356"/>
      <c r="AB85" s="356"/>
    </row>
    <row r="86" spans="1:29" ht="15.5">
      <c r="A86" s="357"/>
      <c r="B86" s="357"/>
      <c r="C86" s="357"/>
      <c r="D86" s="356"/>
      <c r="E86" s="356"/>
      <c r="F86" s="356"/>
      <c r="G86" s="356"/>
      <c r="H86" s="356"/>
      <c r="I86" s="356"/>
      <c r="J86" s="356"/>
      <c r="K86" s="356"/>
      <c r="L86" s="356"/>
      <c r="M86" s="356"/>
      <c r="N86" s="356"/>
      <c r="O86" s="356"/>
      <c r="P86" s="356"/>
      <c r="Q86" s="356"/>
      <c r="R86" s="356"/>
      <c r="S86" s="356"/>
      <c r="T86" s="356"/>
      <c r="U86" s="356"/>
      <c r="V86" s="356"/>
      <c r="W86" s="356"/>
      <c r="X86" s="356"/>
      <c r="Y86" s="356"/>
      <c r="Z86" s="356"/>
      <c r="AA86" s="356"/>
      <c r="AB86" s="356"/>
    </row>
    <row r="87" spans="1:29" ht="15.5">
      <c r="A87" s="357"/>
      <c r="B87" s="357"/>
      <c r="C87" s="357"/>
      <c r="D87" s="356"/>
      <c r="E87" s="356"/>
      <c r="F87" s="356"/>
      <c r="G87" s="356"/>
      <c r="H87" s="356"/>
      <c r="I87" s="356"/>
      <c r="J87" s="356"/>
      <c r="K87" s="356"/>
      <c r="L87" s="356"/>
      <c r="M87" s="356"/>
      <c r="N87" s="356"/>
      <c r="O87" s="356"/>
      <c r="P87" s="356"/>
      <c r="Q87" s="356"/>
      <c r="R87" s="356"/>
      <c r="S87" s="356"/>
      <c r="T87" s="356"/>
      <c r="U87" s="356"/>
      <c r="V87" s="356"/>
      <c r="W87" s="356"/>
      <c r="X87" s="356"/>
      <c r="Y87" s="356"/>
      <c r="Z87" s="356"/>
      <c r="AA87" s="356"/>
      <c r="AB87" s="356"/>
    </row>
    <row r="88" spans="1:29" ht="15.5">
      <c r="A88" s="357"/>
      <c r="B88" s="357"/>
      <c r="C88" s="357"/>
      <c r="D88" s="356"/>
      <c r="E88" s="356"/>
      <c r="F88" s="356"/>
      <c r="G88" s="356"/>
      <c r="H88" s="356"/>
      <c r="I88" s="356"/>
      <c r="J88" s="356"/>
      <c r="K88" s="356"/>
      <c r="L88" s="356"/>
      <c r="M88" s="356"/>
      <c r="N88" s="356"/>
      <c r="O88" s="356"/>
      <c r="P88" s="356"/>
      <c r="Q88" s="356"/>
      <c r="R88" s="356"/>
      <c r="S88" s="356"/>
      <c r="T88" s="356"/>
      <c r="U88" s="356"/>
      <c r="V88" s="356"/>
      <c r="W88" s="356"/>
      <c r="X88" s="356"/>
      <c r="Y88" s="356"/>
      <c r="Z88" s="356"/>
      <c r="AA88" s="356"/>
      <c r="AB88" s="356"/>
    </row>
    <row r="89" spans="1:29" ht="15.5">
      <c r="A89" s="357"/>
      <c r="B89" s="357"/>
      <c r="C89" s="357"/>
      <c r="D89" s="356"/>
      <c r="E89" s="356"/>
      <c r="F89" s="356"/>
      <c r="G89" s="356"/>
      <c r="H89" s="356"/>
      <c r="I89" s="356"/>
      <c r="J89" s="356"/>
      <c r="K89" s="356"/>
      <c r="L89" s="356"/>
      <c r="M89" s="356"/>
      <c r="N89" s="356"/>
      <c r="O89" s="356"/>
      <c r="P89" s="356"/>
      <c r="Q89" s="356"/>
      <c r="R89" s="356"/>
      <c r="S89" s="356"/>
      <c r="T89" s="356"/>
      <c r="U89" s="356"/>
      <c r="V89" s="356"/>
      <c r="W89" s="356"/>
      <c r="X89" s="356"/>
      <c r="Y89" s="356"/>
      <c r="Z89" s="356"/>
      <c r="AA89" s="356"/>
      <c r="AB89" s="356"/>
    </row>
    <row r="90" spans="1:29" ht="15.5">
      <c r="A90" s="357"/>
      <c r="B90" s="357"/>
      <c r="C90" s="357"/>
      <c r="D90" s="356"/>
      <c r="E90" s="356"/>
      <c r="F90" s="356"/>
      <c r="G90" s="356"/>
      <c r="H90" s="356"/>
      <c r="I90" s="356"/>
      <c r="J90" s="356"/>
      <c r="K90" s="356"/>
      <c r="L90" s="356"/>
      <c r="M90" s="356"/>
      <c r="N90" s="356"/>
      <c r="O90" s="356"/>
      <c r="P90" s="356"/>
      <c r="Q90" s="356"/>
      <c r="R90" s="356"/>
      <c r="S90" s="356"/>
      <c r="T90" s="356"/>
      <c r="U90" s="356"/>
      <c r="V90" s="356"/>
      <c r="W90" s="356"/>
      <c r="X90" s="356"/>
      <c r="Y90" s="356"/>
      <c r="Z90" s="356"/>
      <c r="AA90" s="356"/>
      <c r="AB90" s="356"/>
    </row>
    <row r="91" spans="1:29" ht="15.5">
      <c r="A91" s="357"/>
      <c r="B91" s="357"/>
      <c r="C91" s="357"/>
      <c r="D91" s="356"/>
      <c r="E91" s="356"/>
      <c r="F91" s="356"/>
      <c r="G91" s="356"/>
      <c r="H91" s="356"/>
      <c r="I91" s="356"/>
      <c r="J91" s="356"/>
      <c r="K91" s="356"/>
      <c r="L91" s="356"/>
      <c r="M91" s="356"/>
      <c r="N91" s="356"/>
      <c r="O91" s="356"/>
      <c r="P91" s="356"/>
      <c r="Q91" s="356"/>
      <c r="R91" s="356"/>
      <c r="S91" s="356"/>
      <c r="T91" s="356"/>
      <c r="U91" s="356"/>
      <c r="V91" s="356"/>
      <c r="W91" s="356"/>
      <c r="X91" s="356"/>
      <c r="Y91" s="356"/>
      <c r="Z91" s="356"/>
      <c r="AA91" s="356"/>
      <c r="AB91" s="356"/>
    </row>
    <row r="92" spans="1:29" ht="15.5">
      <c r="A92" s="357"/>
      <c r="B92" s="357"/>
      <c r="C92" s="357"/>
      <c r="D92" s="356"/>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row>
    <row r="93" spans="1:29" ht="15.5">
      <c r="A93" s="357"/>
      <c r="B93" s="357"/>
      <c r="C93" s="357"/>
      <c r="D93" s="356"/>
      <c r="E93" s="356"/>
      <c r="F93" s="356"/>
      <c r="G93" s="356"/>
      <c r="H93" s="356"/>
      <c r="I93" s="356"/>
      <c r="J93" s="356"/>
      <c r="K93" s="356"/>
      <c r="L93" s="356"/>
      <c r="M93" s="356"/>
      <c r="N93" s="356"/>
      <c r="O93" s="356"/>
      <c r="P93" s="356"/>
      <c r="Q93" s="356"/>
      <c r="R93" s="356"/>
      <c r="S93" s="356"/>
      <c r="T93" s="356"/>
      <c r="U93" s="356"/>
      <c r="V93" s="356"/>
      <c r="W93" s="356"/>
      <c r="X93" s="356"/>
      <c r="Y93" s="356"/>
      <c r="Z93" s="356"/>
      <c r="AA93" s="356"/>
      <c r="AB93" s="356"/>
    </row>
    <row r="94" spans="1:29" ht="15.5">
      <c r="A94" s="357"/>
      <c r="B94" s="357"/>
      <c r="C94" s="357"/>
      <c r="D94" s="356"/>
      <c r="E94" s="356"/>
      <c r="F94" s="356"/>
      <c r="G94" s="356"/>
      <c r="H94" s="356"/>
      <c r="I94" s="356"/>
      <c r="J94" s="356"/>
      <c r="K94" s="356"/>
      <c r="L94" s="356"/>
      <c r="M94" s="356"/>
      <c r="N94" s="356"/>
      <c r="O94" s="356"/>
      <c r="P94" s="356"/>
      <c r="Q94" s="356"/>
      <c r="R94" s="356"/>
      <c r="S94" s="356"/>
      <c r="T94" s="356"/>
      <c r="U94" s="356"/>
      <c r="V94" s="356"/>
      <c r="W94" s="356"/>
      <c r="X94" s="356"/>
      <c r="Y94" s="356"/>
      <c r="Z94" s="356"/>
      <c r="AA94" s="356"/>
      <c r="AB94" s="356"/>
    </row>
    <row r="95" spans="1:29" ht="15.5">
      <c r="A95" s="357"/>
      <c r="B95" s="357"/>
      <c r="C95" s="357"/>
      <c r="D95" s="356"/>
      <c r="E95" s="356"/>
      <c r="F95" s="356"/>
      <c r="G95" s="356"/>
      <c r="H95" s="356"/>
      <c r="I95" s="356"/>
      <c r="J95" s="356"/>
      <c r="K95" s="356"/>
      <c r="L95" s="356"/>
      <c r="M95" s="356"/>
      <c r="N95" s="356"/>
      <c r="O95" s="356"/>
      <c r="P95" s="356"/>
      <c r="Q95" s="356"/>
      <c r="R95" s="356"/>
      <c r="S95" s="356"/>
      <c r="T95" s="356"/>
      <c r="U95" s="356"/>
      <c r="V95" s="356"/>
      <c r="W95" s="356"/>
      <c r="X95" s="356"/>
      <c r="Y95" s="356"/>
      <c r="Z95" s="356"/>
      <c r="AA95" s="356"/>
      <c r="AB95" s="356"/>
    </row>
    <row r="96" spans="1:29" ht="15.5">
      <c r="A96" s="357"/>
      <c r="B96" s="357"/>
      <c r="C96" s="357"/>
      <c r="D96" s="356"/>
      <c r="E96" s="356"/>
      <c r="F96" s="356"/>
      <c r="G96" s="356"/>
      <c r="H96" s="356"/>
      <c r="I96" s="356"/>
      <c r="J96" s="356"/>
      <c r="K96" s="356"/>
      <c r="L96" s="356"/>
      <c r="M96" s="356"/>
      <c r="N96" s="356"/>
      <c r="O96" s="356"/>
      <c r="P96" s="356"/>
      <c r="Q96" s="356"/>
      <c r="R96" s="356"/>
      <c r="S96" s="356"/>
      <c r="T96" s="356"/>
      <c r="U96" s="356"/>
      <c r="V96" s="356"/>
      <c r="W96" s="356"/>
      <c r="X96" s="356"/>
      <c r="Y96" s="356"/>
      <c r="Z96" s="356"/>
      <c r="AA96" s="356"/>
      <c r="AB96" s="356"/>
    </row>
    <row r="97" spans="1:28" ht="15.5">
      <c r="A97" s="357"/>
      <c r="B97" s="357"/>
      <c r="C97" s="357"/>
      <c r="D97" s="356"/>
      <c r="E97" s="356"/>
      <c r="F97" s="356"/>
      <c r="G97" s="356"/>
      <c r="H97" s="356"/>
      <c r="I97" s="356"/>
      <c r="J97" s="356"/>
      <c r="K97" s="356"/>
      <c r="L97" s="356"/>
      <c r="M97" s="356"/>
      <c r="N97" s="356"/>
      <c r="O97" s="356"/>
      <c r="P97" s="356"/>
      <c r="Q97" s="356"/>
      <c r="R97" s="356"/>
      <c r="S97" s="356"/>
      <c r="T97" s="356"/>
      <c r="U97" s="356"/>
      <c r="V97" s="356"/>
      <c r="W97" s="356"/>
      <c r="X97" s="356"/>
      <c r="Y97" s="356"/>
      <c r="Z97" s="356"/>
      <c r="AA97" s="356"/>
      <c r="AB97" s="356"/>
    </row>
    <row r="98" spans="1:28" ht="15.5">
      <c r="A98" s="357"/>
      <c r="B98" s="357"/>
      <c r="C98" s="357"/>
      <c r="D98" s="356"/>
      <c r="E98" s="356"/>
      <c r="F98" s="356"/>
      <c r="G98" s="356"/>
      <c r="H98" s="356"/>
      <c r="I98" s="356"/>
      <c r="J98" s="356"/>
      <c r="K98" s="356"/>
      <c r="L98" s="356"/>
      <c r="M98" s="356"/>
      <c r="N98" s="356"/>
      <c r="O98" s="356"/>
      <c r="P98" s="356"/>
      <c r="Q98" s="356"/>
      <c r="R98" s="356"/>
      <c r="S98" s="356"/>
      <c r="T98" s="356"/>
      <c r="U98" s="356"/>
      <c r="V98" s="356"/>
      <c r="W98" s="356"/>
      <c r="X98" s="356"/>
      <c r="Y98" s="356"/>
      <c r="Z98" s="356"/>
      <c r="AA98" s="356"/>
      <c r="AB98" s="356"/>
    </row>
    <row r="99" spans="1:28" ht="15.5">
      <c r="A99" s="357"/>
      <c r="B99" s="357"/>
      <c r="C99" s="357"/>
      <c r="D99" s="356"/>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row>
    <row r="100" spans="1:28" ht="15.5">
      <c r="A100" s="357"/>
      <c r="B100" s="357"/>
      <c r="C100" s="357"/>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356"/>
      <c r="AB100" s="356"/>
    </row>
    <row r="101" spans="1:28" ht="15.5">
      <c r="A101" s="357"/>
      <c r="B101" s="357"/>
      <c r="C101" s="357"/>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356"/>
      <c r="AB101" s="356"/>
    </row>
    <row r="102" spans="1:28" ht="15.5">
      <c r="A102" s="357"/>
      <c r="B102" s="357"/>
      <c r="C102" s="357"/>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c r="Z102" s="356"/>
      <c r="AA102" s="356"/>
      <c r="AB102" s="356"/>
    </row>
    <row r="103" spans="1:28" ht="15.5">
      <c r="A103" s="357"/>
      <c r="B103" s="357"/>
      <c r="C103" s="357"/>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c r="Z103" s="356"/>
      <c r="AA103" s="356"/>
      <c r="AB103" s="356"/>
    </row>
    <row r="104" spans="1:28" ht="15.5">
      <c r="A104" s="357"/>
      <c r="B104" s="357"/>
      <c r="C104" s="357"/>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row>
    <row r="105" spans="1:28" ht="15.5">
      <c r="A105" s="357"/>
      <c r="B105" s="357"/>
      <c r="C105" s="357"/>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c r="AA105" s="356"/>
      <c r="AB105" s="356"/>
    </row>
    <row r="106" spans="1:28" ht="15.5">
      <c r="A106" s="357"/>
      <c r="B106" s="357"/>
      <c r="C106" s="357"/>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row>
    <row r="107" spans="1:28" ht="15.5">
      <c r="A107" s="357"/>
      <c r="B107" s="357"/>
      <c r="C107" s="357"/>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c r="AA107" s="356"/>
      <c r="AB107" s="356"/>
    </row>
    <row r="108" spans="1:28" ht="15.5">
      <c r="A108" s="357"/>
      <c r="B108" s="357"/>
      <c r="C108" s="357"/>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c r="AA108" s="356"/>
      <c r="AB108" s="356"/>
    </row>
    <row r="109" spans="1:28" ht="15.5">
      <c r="A109" s="357"/>
      <c r="B109" s="357"/>
      <c r="C109" s="357"/>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c r="AA109" s="356"/>
      <c r="AB109" s="356"/>
    </row>
    <row r="110" spans="1:28" ht="15.5">
      <c r="A110" s="357"/>
      <c r="B110" s="357"/>
      <c r="C110" s="357"/>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c r="AA110" s="356"/>
      <c r="AB110" s="356"/>
    </row>
    <row r="111" spans="1:28" ht="15.5">
      <c r="A111" s="357"/>
      <c r="B111" s="357"/>
      <c r="C111" s="357"/>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c r="AA111" s="356"/>
      <c r="AB111" s="356"/>
    </row>
    <row r="112" spans="1:28" ht="15.5">
      <c r="A112" s="357"/>
      <c r="B112" s="357"/>
      <c r="C112" s="357"/>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row>
    <row r="113" spans="1:28" ht="15.5">
      <c r="A113" s="357"/>
      <c r="B113" s="357"/>
      <c r="C113" s="357"/>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c r="AA113" s="356"/>
      <c r="AB113" s="356"/>
    </row>
    <row r="114" spans="1:28" ht="15.5">
      <c r="A114" s="357"/>
      <c r="B114" s="357"/>
      <c r="C114" s="357"/>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c r="AA114" s="356"/>
      <c r="AB114" s="356"/>
    </row>
    <row r="115" spans="1:28" ht="15.5">
      <c r="A115" s="357"/>
      <c r="B115" s="357"/>
      <c r="C115" s="357"/>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c r="AA115" s="356"/>
      <c r="AB115" s="356"/>
    </row>
    <row r="116" spans="1:28" ht="15.5">
      <c r="A116" s="357"/>
      <c r="B116" s="357"/>
      <c r="C116" s="357"/>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c r="AA116" s="356"/>
      <c r="AB116" s="356"/>
    </row>
    <row r="117" spans="1:28" ht="15.5">
      <c r="A117" s="357"/>
      <c r="B117" s="357"/>
      <c r="C117" s="357"/>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c r="AA117" s="356"/>
      <c r="AB117" s="356"/>
    </row>
    <row r="118" spans="1:28" ht="15.5">
      <c r="A118" s="357"/>
      <c r="B118" s="357"/>
      <c r="C118" s="357"/>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c r="AA118" s="356"/>
      <c r="AB118" s="356"/>
    </row>
    <row r="119" spans="1:28" ht="15.5">
      <c r="A119" s="357"/>
      <c r="B119" s="357"/>
      <c r="C119" s="357"/>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row>
    <row r="120" spans="1:28" ht="15.5">
      <c r="A120" s="357"/>
      <c r="B120" s="357"/>
      <c r="C120" s="357"/>
      <c r="D120" s="356"/>
      <c r="E120" s="356"/>
      <c r="F120" s="356"/>
      <c r="G120" s="356"/>
      <c r="H120" s="356"/>
      <c r="I120" s="356"/>
      <c r="J120" s="356"/>
      <c r="K120" s="356"/>
      <c r="L120" s="356"/>
      <c r="M120" s="356"/>
      <c r="N120" s="356"/>
      <c r="O120" s="356"/>
      <c r="P120" s="356"/>
      <c r="Q120" s="356"/>
      <c r="R120" s="356"/>
      <c r="S120" s="356"/>
      <c r="T120" s="356"/>
      <c r="U120" s="356"/>
      <c r="V120" s="356"/>
      <c r="W120" s="356"/>
      <c r="X120" s="356"/>
      <c r="Y120" s="356"/>
      <c r="Z120" s="356"/>
      <c r="AA120" s="356"/>
      <c r="AB120" s="356"/>
    </row>
    <row r="121" spans="1:28" ht="15.5">
      <c r="A121" s="357"/>
      <c r="B121" s="357"/>
      <c r="C121" s="357"/>
      <c r="D121" s="356"/>
      <c r="E121" s="356"/>
      <c r="F121" s="356"/>
      <c r="G121" s="356"/>
      <c r="H121" s="356"/>
      <c r="I121" s="356"/>
      <c r="J121" s="356"/>
      <c r="K121" s="356"/>
      <c r="L121" s="356"/>
      <c r="M121" s="356"/>
      <c r="N121" s="356"/>
      <c r="O121" s="356"/>
      <c r="P121" s="356"/>
      <c r="Q121" s="356"/>
      <c r="R121" s="356"/>
      <c r="S121" s="356"/>
      <c r="T121" s="356"/>
      <c r="U121" s="356"/>
      <c r="V121" s="356"/>
      <c r="W121" s="356"/>
      <c r="X121" s="356"/>
      <c r="Y121" s="356"/>
      <c r="Z121" s="356"/>
      <c r="AA121" s="356"/>
      <c r="AB121" s="356"/>
    </row>
    <row r="122" spans="1:28" ht="15.5">
      <c r="A122" s="357"/>
      <c r="B122" s="357"/>
      <c r="C122" s="357"/>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c r="AA122" s="356"/>
      <c r="AB122" s="356"/>
    </row>
    <row r="123" spans="1:28" ht="15.5">
      <c r="A123" s="357"/>
      <c r="B123" s="357"/>
      <c r="C123" s="357"/>
      <c r="D123" s="356"/>
      <c r="E123" s="356"/>
      <c r="F123" s="356"/>
      <c r="G123" s="356"/>
      <c r="H123" s="356"/>
      <c r="I123" s="356"/>
      <c r="J123" s="356"/>
      <c r="K123" s="356"/>
      <c r="L123" s="356"/>
      <c r="M123" s="356"/>
      <c r="N123" s="356"/>
      <c r="O123" s="356"/>
      <c r="P123" s="356"/>
      <c r="Q123" s="356"/>
      <c r="R123" s="356"/>
      <c r="S123" s="356"/>
      <c r="T123" s="356"/>
      <c r="U123" s="356"/>
      <c r="V123" s="356"/>
      <c r="W123" s="356"/>
      <c r="X123" s="356"/>
      <c r="Y123" s="356"/>
      <c r="Z123" s="356"/>
      <c r="AA123" s="356"/>
      <c r="AB123" s="356"/>
    </row>
    <row r="124" spans="1:28" ht="15.5">
      <c r="A124" s="357"/>
      <c r="B124" s="357"/>
      <c r="C124" s="357"/>
      <c r="D124" s="356"/>
      <c r="E124" s="356"/>
      <c r="F124" s="356"/>
      <c r="G124" s="356"/>
      <c r="H124" s="356"/>
      <c r="I124" s="356"/>
      <c r="J124" s="356"/>
      <c r="K124" s="356"/>
      <c r="L124" s="356"/>
      <c r="M124" s="356"/>
      <c r="N124" s="356"/>
      <c r="O124" s="356"/>
      <c r="P124" s="356"/>
      <c r="Q124" s="356"/>
      <c r="R124" s="356"/>
      <c r="S124" s="356"/>
      <c r="T124" s="356"/>
      <c r="U124" s="356"/>
      <c r="V124" s="356"/>
      <c r="W124" s="356"/>
      <c r="X124" s="356"/>
      <c r="Y124" s="356"/>
      <c r="Z124" s="356"/>
      <c r="AA124" s="356"/>
      <c r="AB124" s="356"/>
    </row>
    <row r="125" spans="1:28" ht="15.5">
      <c r="A125" s="357"/>
      <c r="B125" s="357"/>
      <c r="C125" s="357"/>
      <c r="D125" s="356"/>
      <c r="E125" s="356"/>
      <c r="F125" s="356"/>
      <c r="G125" s="356"/>
      <c r="H125" s="356"/>
      <c r="I125" s="356"/>
      <c r="J125" s="356"/>
      <c r="K125" s="356"/>
      <c r="L125" s="356"/>
      <c r="M125" s="356"/>
      <c r="N125" s="356"/>
      <c r="O125" s="356"/>
      <c r="P125" s="356"/>
      <c r="Q125" s="356"/>
      <c r="R125" s="356"/>
      <c r="S125" s="356"/>
      <c r="T125" s="356"/>
      <c r="U125" s="356"/>
      <c r="V125" s="356"/>
      <c r="W125" s="356"/>
      <c r="X125" s="356"/>
      <c r="Y125" s="356"/>
      <c r="Z125" s="356"/>
      <c r="AA125" s="356"/>
      <c r="AB125" s="356"/>
    </row>
    <row r="126" spans="1:28" ht="15.5">
      <c r="A126" s="357"/>
      <c r="B126" s="357"/>
      <c r="C126" s="357"/>
      <c r="D126" s="356"/>
      <c r="E126" s="356"/>
      <c r="F126" s="356"/>
      <c r="G126" s="356"/>
      <c r="H126" s="356"/>
      <c r="I126" s="356"/>
      <c r="J126" s="356"/>
      <c r="K126" s="356"/>
      <c r="L126" s="356"/>
      <c r="M126" s="356"/>
      <c r="N126" s="356"/>
      <c r="O126" s="356"/>
      <c r="P126" s="356"/>
      <c r="Q126" s="356"/>
      <c r="R126" s="356"/>
      <c r="S126" s="356"/>
      <c r="T126" s="356"/>
      <c r="U126" s="356"/>
      <c r="V126" s="356"/>
      <c r="W126" s="356"/>
      <c r="X126" s="356"/>
      <c r="Y126" s="356"/>
      <c r="Z126" s="356"/>
      <c r="AA126" s="356"/>
      <c r="AB126" s="356"/>
    </row>
    <row r="127" spans="1:28" ht="15.5">
      <c r="A127" s="357"/>
      <c r="B127" s="357"/>
      <c r="C127" s="357"/>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c r="AA127" s="356"/>
      <c r="AB127" s="356"/>
    </row>
    <row r="128" spans="1:28" ht="15.5">
      <c r="A128" s="357"/>
      <c r="B128" s="357"/>
      <c r="C128" s="357"/>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c r="AA128" s="356"/>
      <c r="AB128" s="356"/>
    </row>
    <row r="129" spans="1:28" ht="15.5">
      <c r="A129" s="357"/>
      <c r="B129" s="357"/>
      <c r="C129" s="357"/>
      <c r="D129" s="356"/>
      <c r="E129" s="356"/>
      <c r="F129" s="356"/>
      <c r="G129" s="356"/>
      <c r="H129" s="356"/>
      <c r="I129" s="356"/>
      <c r="J129" s="356"/>
      <c r="K129" s="356"/>
      <c r="L129" s="356"/>
      <c r="M129" s="356"/>
      <c r="N129" s="356"/>
      <c r="O129" s="356"/>
      <c r="P129" s="356"/>
      <c r="Q129" s="356"/>
      <c r="R129" s="356"/>
      <c r="S129" s="356"/>
      <c r="T129" s="356"/>
      <c r="U129" s="356"/>
      <c r="V129" s="356"/>
      <c r="W129" s="356"/>
      <c r="X129" s="356"/>
      <c r="Y129" s="356"/>
      <c r="Z129" s="356"/>
      <c r="AA129" s="356"/>
      <c r="AB129" s="356"/>
    </row>
    <row r="130" spans="1:28" ht="15.5">
      <c r="A130" s="357"/>
      <c r="B130" s="357"/>
      <c r="C130" s="357"/>
      <c r="D130" s="356"/>
      <c r="E130" s="356"/>
      <c r="F130" s="356"/>
      <c r="G130" s="356"/>
      <c r="H130" s="356"/>
      <c r="I130" s="356"/>
      <c r="J130" s="356"/>
      <c r="K130" s="356"/>
      <c r="L130" s="356"/>
      <c r="M130" s="356"/>
      <c r="N130" s="356"/>
      <c r="O130" s="356"/>
      <c r="P130" s="356"/>
      <c r="Q130" s="356"/>
      <c r="R130" s="356"/>
      <c r="S130" s="356"/>
      <c r="T130" s="356"/>
      <c r="U130" s="356"/>
      <c r="V130" s="356"/>
      <c r="W130" s="356"/>
      <c r="X130" s="356"/>
      <c r="Y130" s="356"/>
      <c r="Z130" s="356"/>
      <c r="AA130" s="356"/>
      <c r="AB130" s="356"/>
    </row>
    <row r="131" spans="1:28" ht="15.5">
      <c r="A131" s="357"/>
      <c r="B131" s="357"/>
      <c r="C131" s="357"/>
      <c r="D131" s="356"/>
      <c r="E131" s="356"/>
      <c r="F131" s="356"/>
      <c r="G131" s="356"/>
      <c r="H131" s="356"/>
      <c r="I131" s="356"/>
      <c r="J131" s="356"/>
      <c r="K131" s="356"/>
      <c r="L131" s="356"/>
      <c r="M131" s="356"/>
      <c r="N131" s="356"/>
      <c r="O131" s="356"/>
      <c r="P131" s="356"/>
      <c r="Q131" s="356"/>
      <c r="R131" s="356"/>
      <c r="S131" s="356"/>
      <c r="T131" s="356"/>
      <c r="U131" s="356"/>
      <c r="V131" s="356"/>
      <c r="W131" s="356"/>
      <c r="X131" s="356"/>
      <c r="Y131" s="356"/>
      <c r="Z131" s="356"/>
      <c r="AA131" s="356"/>
      <c r="AB131" s="356"/>
    </row>
    <row r="132" spans="1:28" ht="15.5">
      <c r="A132" s="357"/>
      <c r="B132" s="357"/>
      <c r="C132" s="357"/>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c r="AA132" s="356"/>
      <c r="AB132" s="356"/>
    </row>
    <row r="133" spans="1:28" ht="15.5">
      <c r="A133" s="357"/>
      <c r="B133" s="357"/>
      <c r="C133" s="357"/>
      <c r="D133" s="356"/>
      <c r="E133" s="356"/>
      <c r="F133" s="356"/>
      <c r="G133" s="356"/>
      <c r="H133" s="356"/>
      <c r="I133" s="356"/>
      <c r="J133" s="356"/>
      <c r="K133" s="356"/>
      <c r="L133" s="356"/>
      <c r="M133" s="356"/>
      <c r="N133" s="356"/>
      <c r="O133" s="356"/>
      <c r="P133" s="356"/>
      <c r="Q133" s="356"/>
      <c r="R133" s="356"/>
      <c r="S133" s="356"/>
      <c r="T133" s="356"/>
      <c r="U133" s="356"/>
      <c r="V133" s="356"/>
      <c r="W133" s="356"/>
      <c r="X133" s="356"/>
      <c r="Y133" s="356"/>
      <c r="Z133" s="356"/>
      <c r="AA133" s="356"/>
      <c r="AB133" s="356"/>
    </row>
    <row r="134" spans="1:28" ht="15.5">
      <c r="A134" s="357"/>
      <c r="B134" s="357"/>
      <c r="C134" s="357"/>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c r="AA134" s="356"/>
      <c r="AB134" s="356"/>
    </row>
    <row r="135" spans="1:28" ht="15.5">
      <c r="A135" s="357"/>
      <c r="B135" s="357"/>
      <c r="C135" s="357"/>
      <c r="D135" s="356"/>
      <c r="E135" s="356"/>
      <c r="F135" s="356"/>
      <c r="G135" s="356"/>
      <c r="H135" s="356"/>
      <c r="I135" s="356"/>
      <c r="J135" s="356"/>
      <c r="K135" s="356"/>
      <c r="L135" s="356"/>
      <c r="M135" s="356"/>
      <c r="N135" s="356"/>
      <c r="O135" s="356"/>
      <c r="P135" s="356"/>
      <c r="Q135" s="356"/>
      <c r="R135" s="356"/>
      <c r="S135" s="356"/>
      <c r="T135" s="356"/>
      <c r="U135" s="356"/>
      <c r="V135" s="356"/>
      <c r="W135" s="356"/>
      <c r="X135" s="356"/>
      <c r="Y135" s="356"/>
      <c r="Z135" s="356"/>
      <c r="AA135" s="356"/>
      <c r="AB135" s="356"/>
    </row>
    <row r="136" spans="1:28" ht="15.5">
      <c r="A136" s="357"/>
      <c r="B136" s="357"/>
      <c r="C136" s="357"/>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c r="AA136" s="356"/>
      <c r="AB136" s="356"/>
    </row>
    <row r="137" spans="1:28" ht="15.5">
      <c r="A137" s="357"/>
      <c r="B137" s="357"/>
      <c r="C137" s="357"/>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c r="AA137" s="356"/>
      <c r="AB137" s="356"/>
    </row>
    <row r="138" spans="1:28" ht="15.5">
      <c r="A138" s="357"/>
      <c r="B138" s="357"/>
      <c r="C138" s="357"/>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c r="AA138" s="356"/>
      <c r="AB138" s="356"/>
    </row>
    <row r="139" spans="1:28" ht="15.5">
      <c r="A139" s="357"/>
      <c r="B139" s="357"/>
      <c r="C139" s="357"/>
      <c r="D139" s="356"/>
      <c r="E139" s="356"/>
      <c r="F139" s="356"/>
      <c r="G139" s="356"/>
      <c r="H139" s="356"/>
      <c r="I139" s="356"/>
      <c r="J139" s="356"/>
      <c r="K139" s="356"/>
      <c r="L139" s="356"/>
      <c r="M139" s="356"/>
      <c r="N139" s="356"/>
      <c r="O139" s="356"/>
      <c r="P139" s="356"/>
      <c r="Q139" s="356"/>
      <c r="R139" s="356"/>
      <c r="S139" s="356"/>
      <c r="T139" s="356"/>
      <c r="U139" s="356"/>
      <c r="V139" s="356"/>
      <c r="W139" s="356"/>
      <c r="X139" s="356"/>
      <c r="Y139" s="356"/>
      <c r="Z139" s="356"/>
      <c r="AA139" s="356"/>
      <c r="AB139" s="356"/>
    </row>
    <row r="140" spans="1:28" ht="15.5">
      <c r="A140" s="357"/>
      <c r="B140" s="357"/>
      <c r="C140" s="357"/>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c r="AA140" s="356"/>
      <c r="AB140" s="356"/>
    </row>
    <row r="141" spans="1:28" ht="15.5">
      <c r="A141" s="357"/>
      <c r="B141" s="357"/>
      <c r="C141" s="357"/>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c r="AA141" s="356"/>
      <c r="AB141" s="356"/>
    </row>
    <row r="142" spans="1:28" ht="15.5">
      <c r="A142" s="357"/>
      <c r="B142" s="357"/>
      <c r="C142" s="357"/>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c r="AA142" s="356"/>
      <c r="AB142" s="356"/>
    </row>
    <row r="143" spans="1:28" ht="15.5">
      <c r="A143" s="357"/>
      <c r="B143" s="357"/>
      <c r="C143" s="357"/>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c r="AA143" s="356"/>
      <c r="AB143" s="356"/>
    </row>
    <row r="144" spans="1:28" ht="15.5">
      <c r="A144" s="357"/>
      <c r="B144" s="357"/>
      <c r="C144" s="357"/>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c r="AA144" s="356"/>
      <c r="AB144" s="356"/>
    </row>
    <row r="145" spans="1:28" ht="15.5">
      <c r="A145" s="357"/>
      <c r="B145" s="357"/>
      <c r="C145" s="357"/>
      <c r="D145" s="356"/>
      <c r="E145" s="356"/>
      <c r="F145" s="356"/>
      <c r="G145" s="356"/>
      <c r="H145" s="356"/>
      <c r="I145" s="356"/>
      <c r="J145" s="356"/>
      <c r="K145" s="356"/>
      <c r="L145" s="356"/>
      <c r="M145" s="356"/>
      <c r="N145" s="356"/>
      <c r="O145" s="356"/>
      <c r="P145" s="356"/>
      <c r="Q145" s="356"/>
      <c r="R145" s="356"/>
      <c r="S145" s="356"/>
      <c r="T145" s="356"/>
      <c r="U145" s="356"/>
      <c r="V145" s="356"/>
      <c r="W145" s="356"/>
      <c r="X145" s="356"/>
      <c r="Y145" s="356"/>
      <c r="Z145" s="356"/>
      <c r="AA145" s="356"/>
      <c r="AB145" s="356"/>
    </row>
    <row r="146" spans="1:28" ht="15.5">
      <c r="A146" s="357"/>
      <c r="B146" s="357"/>
      <c r="C146" s="357"/>
      <c r="D146" s="356"/>
      <c r="E146" s="356"/>
      <c r="F146" s="356"/>
      <c r="G146" s="356"/>
      <c r="H146" s="356"/>
      <c r="I146" s="356"/>
      <c r="J146" s="356"/>
      <c r="K146" s="356"/>
      <c r="L146" s="356"/>
      <c r="M146" s="356"/>
      <c r="N146" s="356"/>
      <c r="O146" s="356"/>
      <c r="P146" s="356"/>
      <c r="Q146" s="356"/>
      <c r="R146" s="356"/>
      <c r="S146" s="356"/>
      <c r="T146" s="356"/>
      <c r="U146" s="356"/>
      <c r="V146" s="356"/>
      <c r="W146" s="356"/>
      <c r="X146" s="356"/>
      <c r="Y146" s="356"/>
      <c r="Z146" s="356"/>
      <c r="AA146" s="356"/>
      <c r="AB146" s="356"/>
    </row>
    <row r="147" spans="1:28" ht="15.5">
      <c r="A147" s="357"/>
      <c r="B147" s="357"/>
      <c r="C147" s="357"/>
      <c r="D147" s="356"/>
      <c r="E147" s="356"/>
      <c r="F147" s="356"/>
      <c r="G147" s="356"/>
      <c r="H147" s="356"/>
      <c r="I147" s="356"/>
      <c r="J147" s="356"/>
      <c r="K147" s="356"/>
      <c r="L147" s="356"/>
      <c r="M147" s="356"/>
      <c r="N147" s="356"/>
      <c r="O147" s="356"/>
      <c r="P147" s="356"/>
      <c r="Q147" s="356"/>
      <c r="R147" s="356"/>
      <c r="S147" s="356"/>
      <c r="T147" s="356"/>
      <c r="U147" s="356"/>
      <c r="V147" s="356"/>
      <c r="W147" s="356"/>
      <c r="X147" s="356"/>
      <c r="Y147" s="356"/>
      <c r="Z147" s="356"/>
      <c r="AA147" s="356"/>
      <c r="AB147" s="356"/>
    </row>
    <row r="148" spans="1:28" ht="15.5">
      <c r="A148" s="357"/>
      <c r="B148" s="357"/>
      <c r="C148" s="357"/>
      <c r="D148" s="356"/>
      <c r="E148" s="356"/>
      <c r="F148" s="356"/>
      <c r="G148" s="356"/>
      <c r="H148" s="356"/>
      <c r="I148" s="356"/>
      <c r="J148" s="356"/>
      <c r="K148" s="356"/>
      <c r="L148" s="356"/>
      <c r="M148" s="356"/>
      <c r="N148" s="356"/>
      <c r="O148" s="356"/>
      <c r="P148" s="356"/>
      <c r="Q148" s="356"/>
      <c r="R148" s="356"/>
      <c r="S148" s="356"/>
      <c r="T148" s="356"/>
      <c r="U148" s="356"/>
      <c r="V148" s="356"/>
      <c r="W148" s="356"/>
      <c r="X148" s="356"/>
      <c r="Y148" s="356"/>
      <c r="Z148" s="356"/>
      <c r="AA148" s="356"/>
      <c r="AB148" s="356"/>
    </row>
    <row r="149" spans="1:28" ht="15.5">
      <c r="A149" s="357"/>
      <c r="B149" s="357"/>
      <c r="C149" s="357"/>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c r="AA149" s="356"/>
      <c r="AB149" s="356"/>
    </row>
    <row r="150" spans="1:28" ht="15.5">
      <c r="A150" s="357"/>
      <c r="B150" s="357"/>
      <c r="C150" s="357"/>
      <c r="D150" s="356"/>
      <c r="E150" s="356"/>
      <c r="F150" s="356"/>
      <c r="G150" s="356"/>
      <c r="H150" s="356"/>
      <c r="I150" s="356"/>
      <c r="J150" s="356"/>
      <c r="K150" s="356"/>
      <c r="L150" s="356"/>
      <c r="M150" s="356"/>
      <c r="N150" s="356"/>
      <c r="O150" s="356"/>
      <c r="P150" s="356"/>
      <c r="Q150" s="356"/>
      <c r="R150" s="356"/>
      <c r="S150" s="356"/>
      <c r="T150" s="356"/>
      <c r="U150" s="356"/>
      <c r="V150" s="356"/>
      <c r="W150" s="356"/>
      <c r="X150" s="356"/>
      <c r="Y150" s="356"/>
      <c r="Z150" s="356"/>
      <c r="AA150" s="356"/>
      <c r="AB150" s="356"/>
    </row>
    <row r="151" spans="1:28" ht="15.5">
      <c r="A151" s="357"/>
      <c r="B151" s="357"/>
      <c r="C151" s="357"/>
      <c r="D151" s="356"/>
      <c r="E151" s="356"/>
      <c r="F151" s="356"/>
      <c r="G151" s="356"/>
      <c r="H151" s="356"/>
      <c r="I151" s="356"/>
      <c r="J151" s="356"/>
      <c r="K151" s="356"/>
      <c r="L151" s="356"/>
      <c r="M151" s="356"/>
      <c r="N151" s="356"/>
      <c r="O151" s="356"/>
      <c r="P151" s="356"/>
      <c r="Q151" s="356"/>
      <c r="R151" s="356"/>
      <c r="S151" s="356"/>
      <c r="T151" s="356"/>
      <c r="U151" s="356"/>
      <c r="V151" s="356"/>
      <c r="W151" s="356"/>
      <c r="X151" s="356"/>
      <c r="Y151" s="356"/>
      <c r="Z151" s="356"/>
      <c r="AA151" s="356"/>
      <c r="AB151" s="356"/>
    </row>
    <row r="152" spans="1:28" ht="15.5">
      <c r="A152" s="357"/>
      <c r="B152" s="357"/>
      <c r="C152" s="357"/>
      <c r="D152" s="356"/>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356"/>
      <c r="AA152" s="356"/>
      <c r="AB152" s="356"/>
    </row>
    <row r="153" spans="1:28" ht="15.5">
      <c r="A153" s="357"/>
      <c r="B153" s="357"/>
      <c r="C153" s="357"/>
      <c r="D153" s="356"/>
      <c r="E153" s="356"/>
      <c r="F153" s="356"/>
      <c r="G153" s="356"/>
      <c r="H153" s="356"/>
      <c r="I153" s="356"/>
      <c r="J153" s="356"/>
      <c r="K153" s="356"/>
      <c r="L153" s="356"/>
      <c r="M153" s="356"/>
      <c r="N153" s="356"/>
      <c r="O153" s="356"/>
      <c r="P153" s="356"/>
      <c r="Q153" s="356"/>
      <c r="R153" s="356"/>
      <c r="S153" s="356"/>
      <c r="T153" s="356"/>
      <c r="U153" s="356"/>
      <c r="V153" s="356"/>
      <c r="W153" s="356"/>
      <c r="X153" s="356"/>
      <c r="Y153" s="356"/>
      <c r="Z153" s="356"/>
      <c r="AA153" s="356"/>
      <c r="AB153" s="356"/>
    </row>
    <row r="154" spans="1:28" ht="15.5">
      <c r="A154" s="357"/>
      <c r="B154" s="357"/>
      <c r="C154" s="357"/>
      <c r="D154" s="356"/>
      <c r="E154" s="356"/>
      <c r="F154" s="356"/>
      <c r="G154" s="356"/>
      <c r="H154" s="356"/>
      <c r="I154" s="356"/>
      <c r="J154" s="356"/>
      <c r="K154" s="356"/>
      <c r="L154" s="356"/>
      <c r="M154" s="356"/>
      <c r="N154" s="356"/>
      <c r="O154" s="356"/>
      <c r="P154" s="356"/>
      <c r="Q154" s="356"/>
      <c r="R154" s="356"/>
      <c r="S154" s="356"/>
      <c r="T154" s="356"/>
      <c r="U154" s="356"/>
      <c r="V154" s="356"/>
      <c r="W154" s="356"/>
      <c r="X154" s="356"/>
      <c r="Y154" s="356"/>
      <c r="Z154" s="356"/>
      <c r="AA154" s="356"/>
      <c r="AB154" s="356"/>
    </row>
    <row r="155" spans="1:28" ht="15.5">
      <c r="A155" s="357"/>
      <c r="B155" s="357"/>
      <c r="C155" s="357"/>
      <c r="D155" s="356"/>
      <c r="E155" s="356"/>
      <c r="F155" s="356"/>
      <c r="G155" s="356"/>
      <c r="H155" s="356"/>
      <c r="I155" s="356"/>
      <c r="J155" s="356"/>
      <c r="K155" s="356"/>
      <c r="L155" s="356"/>
      <c r="M155" s="356"/>
      <c r="N155" s="356"/>
      <c r="O155" s="356"/>
      <c r="P155" s="356"/>
      <c r="Q155" s="356"/>
      <c r="R155" s="356"/>
      <c r="S155" s="356"/>
      <c r="T155" s="356"/>
      <c r="U155" s="356"/>
      <c r="V155" s="356"/>
      <c r="W155" s="356"/>
      <c r="X155" s="356"/>
      <c r="Y155" s="356"/>
      <c r="Z155" s="356"/>
      <c r="AA155" s="356"/>
      <c r="AB155" s="356"/>
    </row>
    <row r="156" spans="1:28" ht="15.5">
      <c r="A156" s="357"/>
      <c r="B156" s="357"/>
      <c r="C156" s="357"/>
      <c r="D156" s="356"/>
      <c r="E156" s="356"/>
      <c r="F156" s="356"/>
      <c r="G156" s="356"/>
      <c r="H156" s="356"/>
      <c r="I156" s="356"/>
      <c r="J156" s="356"/>
      <c r="K156" s="356"/>
      <c r="L156" s="356"/>
      <c r="M156" s="356"/>
      <c r="N156" s="356"/>
      <c r="O156" s="356"/>
      <c r="P156" s="356"/>
      <c r="Q156" s="356"/>
      <c r="R156" s="356"/>
      <c r="S156" s="356"/>
      <c r="T156" s="356"/>
      <c r="U156" s="356"/>
      <c r="V156" s="356"/>
      <c r="W156" s="356"/>
      <c r="X156" s="356"/>
      <c r="Y156" s="356"/>
      <c r="Z156" s="356"/>
      <c r="AA156" s="356"/>
      <c r="AB156" s="356"/>
    </row>
    <row r="157" spans="1:28" ht="15.5">
      <c r="A157" s="357"/>
      <c r="B157" s="357"/>
      <c r="C157" s="357"/>
      <c r="D157" s="356"/>
      <c r="E157" s="356"/>
      <c r="F157" s="356"/>
      <c r="G157" s="356"/>
      <c r="H157" s="356"/>
      <c r="I157" s="356"/>
      <c r="J157" s="356"/>
      <c r="K157" s="356"/>
      <c r="L157" s="356"/>
      <c r="M157" s="356"/>
      <c r="N157" s="356"/>
      <c r="O157" s="356"/>
      <c r="P157" s="356"/>
      <c r="Q157" s="356"/>
      <c r="R157" s="356"/>
      <c r="S157" s="356"/>
      <c r="T157" s="356"/>
      <c r="U157" s="356"/>
      <c r="V157" s="356"/>
      <c r="W157" s="356"/>
      <c r="X157" s="356"/>
      <c r="Y157" s="356"/>
      <c r="Z157" s="356"/>
      <c r="AA157" s="356"/>
      <c r="AB157" s="356"/>
    </row>
    <row r="158" spans="1:28" ht="15.5">
      <c r="A158" s="357"/>
      <c r="B158" s="357"/>
      <c r="C158" s="357"/>
      <c r="D158" s="356"/>
      <c r="E158" s="356"/>
      <c r="F158" s="356"/>
      <c r="G158" s="356"/>
      <c r="H158" s="356"/>
      <c r="I158" s="356"/>
      <c r="J158" s="356"/>
      <c r="K158" s="356"/>
      <c r="L158" s="356"/>
      <c r="M158" s="356"/>
      <c r="N158" s="356"/>
      <c r="O158" s="356"/>
      <c r="P158" s="356"/>
      <c r="Q158" s="356"/>
      <c r="R158" s="356"/>
      <c r="S158" s="356"/>
      <c r="T158" s="356"/>
      <c r="U158" s="356"/>
      <c r="V158" s="356"/>
      <c r="W158" s="356"/>
      <c r="X158" s="356"/>
      <c r="Y158" s="356"/>
      <c r="Z158" s="356"/>
      <c r="AA158" s="356"/>
      <c r="AB158" s="356"/>
    </row>
    <row r="159" spans="1:28" ht="15.5">
      <c r="A159" s="357"/>
      <c r="B159" s="357"/>
      <c r="C159" s="357"/>
      <c r="D159" s="356"/>
      <c r="E159" s="356"/>
      <c r="F159" s="356"/>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row>
    <row r="160" spans="1:28" ht="15.5">
      <c r="A160" s="357"/>
      <c r="B160" s="357"/>
      <c r="C160" s="357"/>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row>
    <row r="161" spans="1:28" ht="15.5">
      <c r="A161" s="357"/>
      <c r="B161" s="357"/>
      <c r="C161" s="357"/>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row>
    <row r="162" spans="1:28" ht="15.5">
      <c r="A162" s="357"/>
      <c r="B162" s="357"/>
      <c r="C162" s="357"/>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row>
    <row r="163" spans="1:28" ht="15.5">
      <c r="A163" s="357"/>
      <c r="B163" s="357"/>
      <c r="C163" s="357"/>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row>
    <row r="164" spans="1:28" ht="15.5">
      <c r="A164" s="357"/>
      <c r="B164" s="357"/>
      <c r="C164" s="357"/>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row>
    <row r="165" spans="1:28" ht="15.5">
      <c r="A165" s="357"/>
      <c r="B165" s="357"/>
      <c r="C165" s="357"/>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row>
    <row r="166" spans="1:28" ht="15.5">
      <c r="A166" s="357"/>
      <c r="B166" s="357"/>
      <c r="C166" s="357"/>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row>
    <row r="167" spans="1:28" ht="15.5">
      <c r="A167" s="357"/>
      <c r="B167" s="357"/>
      <c r="C167" s="357"/>
      <c r="D167" s="356"/>
      <c r="E167" s="356"/>
      <c r="F167" s="356"/>
      <c r="G167" s="356"/>
      <c r="H167" s="356"/>
      <c r="I167" s="356"/>
      <c r="J167" s="356"/>
      <c r="K167" s="356"/>
      <c r="L167" s="356"/>
      <c r="M167" s="356"/>
      <c r="N167" s="356"/>
      <c r="O167" s="356"/>
      <c r="P167" s="356"/>
      <c r="Q167" s="356"/>
      <c r="R167" s="356"/>
      <c r="S167" s="356"/>
      <c r="T167" s="356"/>
      <c r="U167" s="356"/>
      <c r="V167" s="356"/>
      <c r="W167" s="356"/>
      <c r="X167" s="356"/>
      <c r="Y167" s="356"/>
      <c r="Z167" s="356"/>
      <c r="AA167" s="356"/>
      <c r="AB167" s="356"/>
    </row>
    <row r="168" spans="1:28" ht="15.5">
      <c r="A168" s="357"/>
      <c r="B168" s="357"/>
      <c r="C168" s="357"/>
      <c r="D168" s="356"/>
      <c r="E168" s="356"/>
      <c r="F168" s="356"/>
      <c r="G168" s="356"/>
      <c r="H168" s="356"/>
      <c r="I168" s="356"/>
      <c r="J168" s="356"/>
      <c r="K168" s="356"/>
      <c r="L168" s="356"/>
      <c r="M168" s="356"/>
      <c r="N168" s="356"/>
      <c r="O168" s="356"/>
      <c r="P168" s="356"/>
      <c r="Q168" s="356"/>
      <c r="R168" s="356"/>
      <c r="S168" s="356"/>
      <c r="T168" s="356"/>
      <c r="U168" s="356"/>
      <c r="V168" s="356"/>
      <c r="W168" s="356"/>
      <c r="X168" s="356"/>
      <c r="Y168" s="356"/>
      <c r="Z168" s="356"/>
      <c r="AA168" s="356"/>
      <c r="AB168" s="356"/>
    </row>
    <row r="169" spans="1:28" ht="15.5">
      <c r="A169" s="357"/>
      <c r="B169" s="357"/>
      <c r="C169" s="357"/>
      <c r="D169" s="356"/>
      <c r="E169" s="356"/>
      <c r="F169" s="356"/>
      <c r="G169" s="356"/>
      <c r="H169" s="356"/>
      <c r="I169" s="356"/>
      <c r="J169" s="356"/>
      <c r="K169" s="356"/>
      <c r="L169" s="356"/>
      <c r="M169" s="356"/>
      <c r="N169" s="356"/>
      <c r="O169" s="356"/>
      <c r="P169" s="356"/>
      <c r="Q169" s="356"/>
      <c r="R169" s="356"/>
      <c r="S169" s="356"/>
      <c r="T169" s="356"/>
      <c r="U169" s="356"/>
      <c r="V169" s="356"/>
      <c r="W169" s="356"/>
      <c r="X169" s="356"/>
      <c r="Y169" s="356"/>
      <c r="Z169" s="356"/>
      <c r="AA169" s="356"/>
      <c r="AB169" s="356"/>
    </row>
    <row r="170" spans="1:28" ht="15.5">
      <c r="A170" s="357"/>
      <c r="B170" s="357"/>
      <c r="C170" s="357"/>
      <c r="D170" s="356"/>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356"/>
      <c r="AA170" s="356"/>
      <c r="AB170" s="356"/>
    </row>
    <row r="171" spans="1:28" ht="15.5">
      <c r="A171" s="357"/>
      <c r="B171" s="357"/>
      <c r="C171" s="357"/>
      <c r="D171" s="356"/>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c r="AA171" s="356"/>
      <c r="AB171" s="356"/>
    </row>
    <row r="172" spans="1:28" ht="15.5">
      <c r="A172" s="357"/>
      <c r="B172" s="357"/>
      <c r="C172" s="357"/>
      <c r="D172" s="356"/>
      <c r="E172" s="356"/>
      <c r="F172" s="356"/>
      <c r="G172" s="356"/>
      <c r="H172" s="356"/>
      <c r="I172" s="356"/>
      <c r="J172" s="356"/>
      <c r="K172" s="356"/>
      <c r="L172" s="356"/>
      <c r="M172" s="356"/>
      <c r="N172" s="356"/>
      <c r="O172" s="356"/>
      <c r="P172" s="356"/>
      <c r="Q172" s="356"/>
      <c r="R172" s="356"/>
      <c r="S172" s="356"/>
      <c r="T172" s="356"/>
      <c r="U172" s="356"/>
      <c r="V172" s="356"/>
      <c r="W172" s="356"/>
      <c r="X172" s="356"/>
      <c r="Y172" s="356"/>
      <c r="Z172" s="356"/>
      <c r="AA172" s="356"/>
      <c r="AB172" s="356"/>
    </row>
    <row r="173" spans="1:28" ht="15.5">
      <c r="A173" s="357"/>
      <c r="B173" s="357"/>
      <c r="C173" s="357"/>
      <c r="D173" s="356"/>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c r="AA173" s="356"/>
      <c r="AB173" s="356"/>
    </row>
    <row r="174" spans="1:28" ht="15.5">
      <c r="A174" s="357"/>
      <c r="B174" s="357"/>
      <c r="C174" s="357"/>
      <c r="D174" s="356"/>
      <c r="E174" s="356"/>
      <c r="F174" s="356"/>
      <c r="G174" s="356"/>
      <c r="H174" s="356"/>
      <c r="I174" s="356"/>
      <c r="J174" s="356"/>
      <c r="K174" s="356"/>
      <c r="L174" s="356"/>
      <c r="M174" s="356"/>
      <c r="N174" s="356"/>
      <c r="O174" s="356"/>
      <c r="P174" s="356"/>
      <c r="Q174" s="356"/>
      <c r="R174" s="356"/>
      <c r="S174" s="356"/>
      <c r="T174" s="356"/>
      <c r="U174" s="356"/>
      <c r="V174" s="356"/>
      <c r="W174" s="356"/>
      <c r="X174" s="356"/>
      <c r="Y174" s="356"/>
      <c r="Z174" s="356"/>
      <c r="AA174" s="356"/>
      <c r="AB174" s="356"/>
    </row>
    <row r="175" spans="1:28" ht="15.5">
      <c r="A175" s="357"/>
      <c r="B175" s="357"/>
      <c r="C175" s="357"/>
      <c r="D175" s="356"/>
      <c r="E175" s="356"/>
      <c r="F175" s="356"/>
      <c r="G175" s="356"/>
      <c r="H175" s="356"/>
      <c r="I175" s="356"/>
      <c r="J175" s="356"/>
      <c r="K175" s="356"/>
      <c r="L175" s="356"/>
      <c r="M175" s="356"/>
      <c r="N175" s="356"/>
      <c r="O175" s="356"/>
      <c r="P175" s="356"/>
      <c r="Q175" s="356"/>
      <c r="R175" s="356"/>
      <c r="S175" s="356"/>
      <c r="T175" s="356"/>
      <c r="U175" s="356"/>
      <c r="V175" s="356"/>
      <c r="W175" s="356"/>
      <c r="X175" s="356"/>
      <c r="Y175" s="356"/>
      <c r="Z175" s="356"/>
      <c r="AA175" s="356"/>
      <c r="AB175" s="356"/>
    </row>
    <row r="176" spans="1:28" ht="15.5">
      <c r="A176" s="357"/>
      <c r="B176" s="357"/>
      <c r="C176" s="357"/>
      <c r="D176" s="356"/>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356"/>
      <c r="AA176" s="356"/>
      <c r="AB176" s="356"/>
    </row>
    <row r="177" spans="1:28" ht="15.5">
      <c r="A177" s="357"/>
      <c r="B177" s="357"/>
      <c r="C177" s="357"/>
      <c r="D177" s="356"/>
      <c r="E177" s="356"/>
      <c r="F177" s="356"/>
      <c r="G177" s="356"/>
      <c r="H177" s="356"/>
      <c r="I177" s="356"/>
      <c r="J177" s="356"/>
      <c r="K177" s="356"/>
      <c r="L177" s="356"/>
      <c r="M177" s="356"/>
      <c r="N177" s="356"/>
      <c r="O177" s="356"/>
      <c r="P177" s="356"/>
      <c r="Q177" s="356"/>
      <c r="R177" s="356"/>
      <c r="S177" s="356"/>
      <c r="T177" s="356"/>
      <c r="U177" s="356"/>
      <c r="V177" s="356"/>
      <c r="W177" s="356"/>
      <c r="X177" s="356"/>
      <c r="Y177" s="356"/>
      <c r="Z177" s="356"/>
      <c r="AA177" s="356"/>
      <c r="AB177" s="356"/>
    </row>
    <row r="178" spans="1:28" ht="15.5">
      <c r="A178" s="357"/>
      <c r="B178" s="357"/>
      <c r="C178" s="357"/>
      <c r="D178" s="356"/>
      <c r="E178" s="356"/>
      <c r="F178" s="356"/>
      <c r="G178" s="356"/>
      <c r="H178" s="356"/>
      <c r="I178" s="356"/>
      <c r="J178" s="356"/>
      <c r="K178" s="356"/>
      <c r="L178" s="356"/>
      <c r="M178" s="356"/>
      <c r="N178" s="356"/>
      <c r="O178" s="356"/>
      <c r="P178" s="356"/>
      <c r="Q178" s="356"/>
      <c r="R178" s="356"/>
      <c r="S178" s="356"/>
      <c r="T178" s="356"/>
      <c r="U178" s="356"/>
      <c r="V178" s="356"/>
      <c r="W178" s="356"/>
      <c r="X178" s="356"/>
      <c r="Y178" s="356"/>
      <c r="Z178" s="356"/>
      <c r="AA178" s="356"/>
      <c r="AB178" s="356"/>
    </row>
    <row r="179" spans="1:28" ht="15.5">
      <c r="A179" s="357"/>
      <c r="B179" s="357"/>
      <c r="C179" s="357"/>
      <c r="D179" s="356"/>
      <c r="E179" s="356"/>
      <c r="F179" s="356"/>
      <c r="G179" s="356"/>
      <c r="H179" s="356"/>
      <c r="I179" s="356"/>
      <c r="J179" s="356"/>
      <c r="K179" s="356"/>
      <c r="L179" s="356"/>
      <c r="M179" s="356"/>
      <c r="N179" s="356"/>
      <c r="O179" s="356"/>
      <c r="P179" s="356"/>
      <c r="Q179" s="356"/>
      <c r="R179" s="356"/>
      <c r="S179" s="356"/>
      <c r="T179" s="356"/>
      <c r="U179" s="356"/>
      <c r="V179" s="356"/>
      <c r="W179" s="356"/>
      <c r="X179" s="356"/>
      <c r="Y179" s="356"/>
      <c r="Z179" s="356"/>
      <c r="AA179" s="356"/>
      <c r="AB179" s="356"/>
    </row>
    <row r="180" spans="1:28" ht="15.5">
      <c r="A180" s="357"/>
      <c r="B180" s="357"/>
      <c r="C180" s="357"/>
      <c r="D180" s="356"/>
      <c r="E180" s="356"/>
      <c r="F180" s="356"/>
      <c r="G180" s="356"/>
      <c r="H180" s="356"/>
      <c r="I180" s="356"/>
      <c r="J180" s="356"/>
      <c r="K180" s="356"/>
      <c r="L180" s="356"/>
      <c r="M180" s="356"/>
      <c r="N180" s="356"/>
      <c r="O180" s="356"/>
      <c r="P180" s="356"/>
      <c r="Q180" s="356"/>
      <c r="R180" s="356"/>
      <c r="S180" s="356"/>
      <c r="T180" s="356"/>
      <c r="U180" s="356"/>
      <c r="V180" s="356"/>
      <c r="W180" s="356"/>
      <c r="X180" s="356"/>
      <c r="Y180" s="356"/>
      <c r="Z180" s="356"/>
      <c r="AA180" s="356"/>
      <c r="AB180" s="356"/>
    </row>
    <row r="181" spans="1:28" ht="15.5">
      <c r="A181" s="357"/>
      <c r="B181" s="357"/>
      <c r="C181" s="357"/>
      <c r="D181" s="356"/>
      <c r="E181" s="356"/>
      <c r="F181" s="356"/>
      <c r="G181" s="356"/>
      <c r="H181" s="356"/>
      <c r="I181" s="356"/>
      <c r="J181" s="356"/>
      <c r="K181" s="356"/>
      <c r="L181" s="356"/>
      <c r="M181" s="356"/>
      <c r="N181" s="356"/>
      <c r="O181" s="356"/>
      <c r="P181" s="356"/>
      <c r="Q181" s="356"/>
      <c r="R181" s="356"/>
      <c r="S181" s="356"/>
      <c r="T181" s="356"/>
      <c r="U181" s="356"/>
      <c r="V181" s="356"/>
      <c r="W181" s="356"/>
      <c r="X181" s="356"/>
      <c r="Y181" s="356"/>
      <c r="Z181" s="356"/>
      <c r="AA181" s="356"/>
      <c r="AB181" s="356"/>
    </row>
    <row r="182" spans="1:28" ht="15.5">
      <c r="A182" s="357"/>
      <c r="B182" s="357"/>
      <c r="C182" s="357"/>
      <c r="D182" s="356"/>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c r="AA182" s="356"/>
      <c r="AB182" s="356"/>
    </row>
    <row r="183" spans="1:28" ht="15.5">
      <c r="A183" s="357"/>
      <c r="B183" s="357"/>
      <c r="C183" s="357"/>
      <c r="D183" s="356"/>
      <c r="E183" s="356"/>
      <c r="F183" s="356"/>
      <c r="G183" s="356"/>
      <c r="H183" s="356"/>
      <c r="I183" s="356"/>
      <c r="J183" s="356"/>
      <c r="K183" s="356"/>
      <c r="L183" s="356"/>
      <c r="M183" s="356"/>
      <c r="N183" s="356"/>
      <c r="O183" s="356"/>
      <c r="P183" s="356"/>
      <c r="Q183" s="356"/>
      <c r="R183" s="356"/>
      <c r="S183" s="356"/>
      <c r="T183" s="356"/>
      <c r="U183" s="356"/>
      <c r="V183" s="356"/>
      <c r="W183" s="356"/>
      <c r="X183" s="356"/>
      <c r="Y183" s="356"/>
      <c r="Z183" s="356"/>
      <c r="AA183" s="356"/>
      <c r="AB183" s="356"/>
    </row>
    <row r="184" spans="1:28" ht="15.5">
      <c r="A184" s="357"/>
      <c r="B184" s="357"/>
      <c r="C184" s="357"/>
      <c r="D184" s="356"/>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c r="AA184" s="356"/>
      <c r="AB184" s="356"/>
    </row>
    <row r="185" spans="1:28" ht="15.5">
      <c r="A185" s="357"/>
      <c r="B185" s="357"/>
      <c r="C185" s="357"/>
      <c r="D185" s="356"/>
      <c r="E185" s="356"/>
      <c r="F185" s="356"/>
      <c r="G185" s="356"/>
      <c r="H185" s="356"/>
      <c r="I185" s="356"/>
      <c r="J185" s="356"/>
      <c r="K185" s="356"/>
      <c r="L185" s="356"/>
      <c r="M185" s="356"/>
      <c r="N185" s="356"/>
      <c r="O185" s="356"/>
      <c r="P185" s="356"/>
      <c r="Q185" s="356"/>
      <c r="R185" s="356"/>
      <c r="S185" s="356"/>
      <c r="T185" s="356"/>
      <c r="U185" s="356"/>
      <c r="V185" s="356"/>
      <c r="W185" s="356"/>
      <c r="X185" s="356"/>
      <c r="Y185" s="356"/>
      <c r="Z185" s="356"/>
      <c r="AA185" s="356"/>
      <c r="AB185" s="356"/>
    </row>
    <row r="186" spans="1:28" ht="15.5">
      <c r="A186" s="357"/>
      <c r="B186" s="357"/>
      <c r="C186" s="357"/>
      <c r="D186" s="356"/>
      <c r="E186" s="356"/>
      <c r="F186" s="356"/>
      <c r="G186" s="356"/>
      <c r="H186" s="356"/>
      <c r="I186" s="356"/>
      <c r="J186" s="356"/>
      <c r="K186" s="356"/>
      <c r="L186" s="356"/>
      <c r="M186" s="356"/>
      <c r="N186" s="356"/>
      <c r="O186" s="356"/>
      <c r="P186" s="356"/>
      <c r="Q186" s="356"/>
      <c r="R186" s="356"/>
      <c r="S186" s="356"/>
      <c r="T186" s="356"/>
      <c r="U186" s="356"/>
      <c r="V186" s="356"/>
      <c r="W186" s="356"/>
      <c r="X186" s="356"/>
      <c r="Y186" s="356"/>
      <c r="Z186" s="356"/>
      <c r="AA186" s="356"/>
      <c r="AB186" s="356"/>
    </row>
    <row r="187" spans="1:28" ht="15.5">
      <c r="A187" s="357"/>
      <c r="B187" s="357"/>
      <c r="C187" s="357"/>
      <c r="D187" s="356"/>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c r="AA187" s="356"/>
      <c r="AB187" s="356"/>
    </row>
    <row r="188" spans="1:28" ht="15.5">
      <c r="A188" s="357"/>
      <c r="B188" s="357"/>
      <c r="C188" s="357"/>
      <c r="D188" s="356"/>
      <c r="E188" s="356"/>
      <c r="F188" s="356"/>
      <c r="G188" s="356"/>
      <c r="H188" s="356"/>
      <c r="I188" s="356"/>
      <c r="J188" s="356"/>
      <c r="K188" s="356"/>
      <c r="L188" s="356"/>
      <c r="M188" s="356"/>
      <c r="N188" s="356"/>
      <c r="O188" s="356"/>
      <c r="P188" s="356"/>
      <c r="Q188" s="356"/>
      <c r="R188" s="356"/>
      <c r="S188" s="356"/>
      <c r="T188" s="356"/>
      <c r="U188" s="356"/>
      <c r="V188" s="356"/>
      <c r="W188" s="356"/>
      <c r="X188" s="356"/>
      <c r="Y188" s="356"/>
      <c r="Z188" s="356"/>
      <c r="AA188" s="356"/>
      <c r="AB188" s="356"/>
    </row>
    <row r="189" spans="1:28" ht="15.5">
      <c r="A189" s="357"/>
      <c r="B189" s="357"/>
      <c r="C189" s="357"/>
      <c r="D189" s="356"/>
      <c r="E189" s="356"/>
      <c r="F189" s="356"/>
      <c r="G189" s="356"/>
      <c r="H189" s="356"/>
      <c r="I189" s="356"/>
      <c r="J189" s="356"/>
      <c r="K189" s="356"/>
      <c r="L189" s="356"/>
      <c r="M189" s="356"/>
      <c r="N189" s="356"/>
      <c r="O189" s="356"/>
      <c r="P189" s="356"/>
      <c r="Q189" s="356"/>
      <c r="R189" s="356"/>
      <c r="S189" s="356"/>
      <c r="T189" s="356"/>
      <c r="U189" s="356"/>
      <c r="V189" s="356"/>
      <c r="W189" s="356"/>
      <c r="X189" s="356"/>
      <c r="Y189" s="356"/>
      <c r="Z189" s="356"/>
      <c r="AA189" s="356"/>
      <c r="AB189" s="356"/>
    </row>
    <row r="190" spans="1:28" ht="15.5">
      <c r="A190" s="357"/>
      <c r="B190" s="357"/>
      <c r="C190" s="357"/>
      <c r="D190" s="356"/>
      <c r="E190" s="356"/>
      <c r="F190" s="356"/>
      <c r="G190" s="356"/>
      <c r="H190" s="356"/>
      <c r="I190" s="356"/>
      <c r="J190" s="356"/>
      <c r="K190" s="356"/>
      <c r="L190" s="356"/>
      <c r="M190" s="356"/>
      <c r="N190" s="356"/>
      <c r="O190" s="356"/>
      <c r="P190" s="356"/>
      <c r="Q190" s="356"/>
      <c r="R190" s="356"/>
      <c r="S190" s="356"/>
      <c r="T190" s="356"/>
      <c r="U190" s="356"/>
      <c r="V190" s="356"/>
      <c r="W190" s="356"/>
      <c r="X190" s="356"/>
      <c r="Y190" s="356"/>
      <c r="Z190" s="356"/>
      <c r="AA190" s="356"/>
      <c r="AB190" s="356"/>
    </row>
    <row r="191" spans="1:28" ht="15.5">
      <c r="A191" s="357"/>
      <c r="B191" s="357"/>
      <c r="C191" s="357"/>
      <c r="D191" s="356"/>
      <c r="E191" s="356"/>
      <c r="F191" s="356"/>
      <c r="G191" s="356"/>
      <c r="H191" s="356"/>
      <c r="I191" s="356"/>
      <c r="J191" s="356"/>
      <c r="K191" s="356"/>
      <c r="L191" s="356"/>
      <c r="M191" s="356"/>
      <c r="N191" s="356"/>
      <c r="O191" s="356"/>
      <c r="P191" s="356"/>
      <c r="Q191" s="356"/>
      <c r="R191" s="356"/>
      <c r="S191" s="356"/>
      <c r="T191" s="356"/>
      <c r="U191" s="356"/>
      <c r="V191" s="356"/>
      <c r="W191" s="356"/>
      <c r="X191" s="356"/>
      <c r="Y191" s="356"/>
      <c r="Z191" s="356"/>
      <c r="AA191" s="356"/>
      <c r="AB191" s="356"/>
    </row>
    <row r="192" spans="1:28" ht="15.5">
      <c r="A192" s="357"/>
      <c r="B192" s="357"/>
      <c r="C192" s="357"/>
      <c r="D192" s="356"/>
      <c r="E192" s="356"/>
      <c r="F192" s="356"/>
      <c r="G192" s="356"/>
      <c r="H192" s="356"/>
      <c r="I192" s="356"/>
      <c r="J192" s="356"/>
      <c r="K192" s="356"/>
      <c r="L192" s="356"/>
      <c r="M192" s="356"/>
      <c r="N192" s="356"/>
      <c r="O192" s="356"/>
      <c r="P192" s="356"/>
      <c r="Q192" s="356"/>
      <c r="R192" s="356"/>
      <c r="S192" s="356"/>
      <c r="T192" s="356"/>
      <c r="U192" s="356"/>
      <c r="V192" s="356"/>
      <c r="W192" s="356"/>
      <c r="X192" s="356"/>
      <c r="Y192" s="356"/>
      <c r="Z192" s="356"/>
      <c r="AA192" s="356"/>
      <c r="AB192" s="356"/>
    </row>
    <row r="193" spans="1:28" ht="15.5">
      <c r="A193" s="357"/>
      <c r="B193" s="357"/>
      <c r="C193" s="357"/>
      <c r="D193" s="356"/>
      <c r="E193" s="356"/>
      <c r="F193" s="356"/>
      <c r="G193" s="356"/>
      <c r="H193" s="356"/>
      <c r="I193" s="356"/>
      <c r="J193" s="356"/>
      <c r="K193" s="356"/>
      <c r="L193" s="356"/>
      <c r="M193" s="356"/>
      <c r="N193" s="356"/>
      <c r="O193" s="356"/>
      <c r="P193" s="356"/>
      <c r="Q193" s="356"/>
      <c r="R193" s="356"/>
      <c r="S193" s="356"/>
      <c r="T193" s="356"/>
      <c r="U193" s="356"/>
      <c r="V193" s="356"/>
      <c r="W193" s="356"/>
      <c r="X193" s="356"/>
      <c r="Y193" s="356"/>
      <c r="Z193" s="356"/>
      <c r="AA193" s="356"/>
      <c r="AB193" s="356"/>
    </row>
    <row r="194" spans="1:28" ht="15.5">
      <c r="A194" s="357"/>
      <c r="B194" s="357"/>
      <c r="C194" s="357"/>
      <c r="D194" s="356"/>
      <c r="E194" s="356"/>
      <c r="F194" s="356"/>
      <c r="G194" s="356"/>
      <c r="H194" s="356"/>
      <c r="I194" s="356"/>
      <c r="J194" s="356"/>
      <c r="K194" s="356"/>
      <c r="L194" s="356"/>
      <c r="M194" s="356"/>
      <c r="N194" s="356"/>
      <c r="O194" s="356"/>
      <c r="P194" s="356"/>
      <c r="Q194" s="356"/>
      <c r="R194" s="356"/>
      <c r="S194" s="356"/>
      <c r="T194" s="356"/>
      <c r="U194" s="356"/>
      <c r="V194" s="356"/>
      <c r="W194" s="356"/>
      <c r="X194" s="356"/>
      <c r="Y194" s="356"/>
      <c r="Z194" s="356"/>
      <c r="AA194" s="356"/>
      <c r="AB194" s="356"/>
    </row>
    <row r="195" spans="1:28" ht="15.5">
      <c r="A195" s="357"/>
      <c r="B195" s="357"/>
      <c r="C195" s="357"/>
      <c r="D195" s="356"/>
      <c r="E195" s="356"/>
      <c r="F195" s="356"/>
      <c r="G195" s="356"/>
      <c r="H195" s="356"/>
      <c r="I195" s="356"/>
      <c r="J195" s="356"/>
      <c r="K195" s="356"/>
      <c r="L195" s="356"/>
      <c r="M195" s="356"/>
      <c r="N195" s="356"/>
      <c r="O195" s="356"/>
      <c r="P195" s="356"/>
      <c r="Q195" s="356"/>
      <c r="R195" s="356"/>
      <c r="S195" s="356"/>
      <c r="T195" s="356"/>
      <c r="U195" s="356"/>
      <c r="V195" s="356"/>
      <c r="W195" s="356"/>
      <c r="X195" s="356"/>
      <c r="Y195" s="356"/>
      <c r="Z195" s="356"/>
      <c r="AA195" s="356"/>
      <c r="AB195" s="356"/>
    </row>
    <row r="196" spans="1:28" ht="15.5">
      <c r="A196" s="357"/>
      <c r="B196" s="357"/>
      <c r="C196" s="357"/>
      <c r="D196" s="356"/>
      <c r="E196" s="356"/>
      <c r="F196" s="356"/>
      <c r="G196" s="356"/>
      <c r="H196" s="356"/>
      <c r="I196" s="356"/>
      <c r="J196" s="356"/>
      <c r="K196" s="356"/>
      <c r="L196" s="356"/>
      <c r="M196" s="356"/>
      <c r="N196" s="356"/>
      <c r="O196" s="356"/>
      <c r="P196" s="356"/>
      <c r="Q196" s="356"/>
      <c r="R196" s="356"/>
      <c r="S196" s="356"/>
      <c r="T196" s="356"/>
      <c r="U196" s="356"/>
      <c r="V196" s="356"/>
      <c r="W196" s="356"/>
      <c r="X196" s="356"/>
      <c r="Y196" s="356"/>
      <c r="Z196" s="356"/>
      <c r="AA196" s="356"/>
      <c r="AB196" s="356"/>
    </row>
    <row r="197" spans="1:28" ht="15.5">
      <c r="A197" s="357"/>
      <c r="B197" s="357"/>
      <c r="C197" s="357"/>
      <c r="D197" s="356"/>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c r="AA197" s="356"/>
      <c r="AB197" s="356"/>
    </row>
    <row r="198" spans="1:28" ht="15.5">
      <c r="A198" s="357"/>
      <c r="B198" s="357"/>
      <c r="C198" s="357"/>
      <c r="D198" s="356"/>
      <c r="E198" s="356"/>
      <c r="F198" s="356"/>
      <c r="G198" s="356"/>
      <c r="H198" s="356"/>
      <c r="I198" s="356"/>
      <c r="J198" s="356"/>
      <c r="K198" s="356"/>
      <c r="L198" s="356"/>
      <c r="M198" s="356"/>
      <c r="N198" s="356"/>
      <c r="O198" s="356"/>
      <c r="P198" s="356"/>
      <c r="Q198" s="356"/>
      <c r="R198" s="356"/>
      <c r="S198" s="356"/>
      <c r="T198" s="356"/>
      <c r="U198" s="356"/>
      <c r="V198" s="356"/>
      <c r="W198" s="356"/>
      <c r="X198" s="356"/>
      <c r="Y198" s="356"/>
      <c r="Z198" s="356"/>
      <c r="AA198" s="356"/>
      <c r="AB198" s="356"/>
    </row>
    <row r="199" spans="1:28" ht="15.5">
      <c r="A199" s="357"/>
      <c r="B199" s="357"/>
      <c r="C199" s="357"/>
      <c r="D199" s="356"/>
      <c r="E199" s="356"/>
      <c r="F199" s="356"/>
      <c r="G199" s="356"/>
      <c r="H199" s="356"/>
      <c r="I199" s="356"/>
      <c r="J199" s="356"/>
      <c r="K199" s="356"/>
      <c r="L199" s="356"/>
      <c r="M199" s="356"/>
      <c r="N199" s="356"/>
      <c r="O199" s="356"/>
      <c r="P199" s="356"/>
      <c r="Q199" s="356"/>
      <c r="R199" s="356"/>
      <c r="S199" s="356"/>
      <c r="T199" s="356"/>
      <c r="U199" s="356"/>
      <c r="V199" s="356"/>
      <c r="W199" s="356"/>
      <c r="X199" s="356"/>
      <c r="Y199" s="356"/>
      <c r="Z199" s="356"/>
      <c r="AA199" s="356"/>
      <c r="AB199" s="356"/>
    </row>
    <row r="200" spans="1:28" ht="15.5">
      <c r="A200" s="357"/>
      <c r="B200" s="357"/>
      <c r="C200" s="357"/>
      <c r="D200" s="356"/>
      <c r="E200" s="356"/>
      <c r="F200" s="356"/>
      <c r="G200" s="356"/>
      <c r="H200" s="356"/>
      <c r="I200" s="356"/>
      <c r="J200" s="356"/>
      <c r="K200" s="356"/>
      <c r="L200" s="356"/>
      <c r="M200" s="356"/>
      <c r="N200" s="356"/>
      <c r="O200" s="356"/>
      <c r="P200" s="356"/>
      <c r="Q200" s="356"/>
      <c r="R200" s="356"/>
      <c r="S200" s="356"/>
      <c r="T200" s="356"/>
      <c r="U200" s="356"/>
      <c r="V200" s="356"/>
      <c r="W200" s="356"/>
      <c r="X200" s="356"/>
      <c r="Y200" s="356"/>
      <c r="Z200" s="356"/>
      <c r="AA200" s="356"/>
      <c r="AB200" s="356"/>
    </row>
    <row r="201" spans="1:28" ht="15.5">
      <c r="A201" s="357"/>
      <c r="B201" s="357"/>
      <c r="C201" s="357"/>
      <c r="D201" s="356"/>
      <c r="E201" s="356"/>
      <c r="F201" s="356"/>
      <c r="G201" s="356"/>
      <c r="H201" s="356"/>
      <c r="I201" s="356"/>
      <c r="J201" s="356"/>
      <c r="K201" s="356"/>
      <c r="L201" s="356"/>
      <c r="M201" s="356"/>
      <c r="N201" s="356"/>
      <c r="O201" s="356"/>
      <c r="P201" s="356"/>
      <c r="Q201" s="356"/>
      <c r="R201" s="356"/>
      <c r="S201" s="356"/>
      <c r="T201" s="356"/>
      <c r="U201" s="356"/>
      <c r="V201" s="356"/>
      <c r="W201" s="356"/>
      <c r="X201" s="356"/>
      <c r="Y201" s="356"/>
      <c r="Z201" s="356"/>
      <c r="AA201" s="356"/>
      <c r="AB201" s="356"/>
    </row>
    <row r="202" spans="1:28" ht="15.5">
      <c r="A202" s="357"/>
      <c r="B202" s="357"/>
      <c r="C202" s="357"/>
      <c r="D202" s="356"/>
      <c r="E202" s="356"/>
      <c r="F202" s="356"/>
      <c r="G202" s="356"/>
      <c r="H202" s="356"/>
      <c r="I202" s="356"/>
      <c r="J202" s="356"/>
      <c r="K202" s="356"/>
      <c r="L202" s="356"/>
      <c r="M202" s="356"/>
      <c r="N202" s="356"/>
      <c r="O202" s="356"/>
      <c r="P202" s="356"/>
      <c r="Q202" s="356"/>
      <c r="R202" s="356"/>
      <c r="S202" s="356"/>
      <c r="T202" s="356"/>
      <c r="U202" s="356"/>
      <c r="V202" s="356"/>
      <c r="W202" s="356"/>
      <c r="X202" s="356"/>
      <c r="Y202" s="356"/>
      <c r="Z202" s="356"/>
      <c r="AA202" s="356"/>
      <c r="AB202" s="356"/>
    </row>
    <row r="203" spans="1:28" ht="15.5">
      <c r="A203" s="357"/>
      <c r="B203" s="357"/>
      <c r="C203" s="357"/>
      <c r="D203" s="356"/>
      <c r="E203" s="356"/>
      <c r="F203" s="356"/>
      <c r="G203" s="356"/>
      <c r="H203" s="356"/>
      <c r="I203" s="356"/>
      <c r="J203" s="356"/>
      <c r="K203" s="356"/>
      <c r="L203" s="356"/>
      <c r="M203" s="356"/>
      <c r="N203" s="356"/>
      <c r="O203" s="356"/>
      <c r="P203" s="356"/>
      <c r="Q203" s="356"/>
      <c r="R203" s="356"/>
      <c r="S203" s="356"/>
      <c r="T203" s="356"/>
      <c r="U203" s="356"/>
      <c r="V203" s="356"/>
      <c r="W203" s="356"/>
      <c r="X203" s="356"/>
      <c r="Y203" s="356"/>
      <c r="Z203" s="356"/>
      <c r="AA203" s="356"/>
      <c r="AB203" s="356"/>
    </row>
    <row r="204" spans="1:28" ht="15.5">
      <c r="A204" s="357"/>
      <c r="B204" s="357"/>
      <c r="C204" s="357"/>
      <c r="D204" s="356"/>
      <c r="E204" s="356"/>
      <c r="F204" s="356"/>
      <c r="G204" s="356"/>
      <c r="H204" s="356"/>
      <c r="I204" s="356"/>
      <c r="J204" s="356"/>
      <c r="K204" s="356"/>
      <c r="L204" s="356"/>
      <c r="M204" s="356"/>
      <c r="N204" s="356"/>
      <c r="O204" s="356"/>
      <c r="P204" s="356"/>
      <c r="Q204" s="356"/>
      <c r="R204" s="356"/>
      <c r="S204" s="356"/>
      <c r="T204" s="356"/>
      <c r="U204" s="356"/>
      <c r="V204" s="356"/>
      <c r="W204" s="356"/>
      <c r="X204" s="356"/>
      <c r="Y204" s="356"/>
      <c r="Z204" s="356"/>
      <c r="AA204" s="356"/>
      <c r="AB204" s="356"/>
    </row>
    <row r="205" spans="1:28" ht="15.5">
      <c r="A205" s="357"/>
      <c r="B205" s="357"/>
      <c r="C205" s="357"/>
      <c r="D205" s="356"/>
      <c r="E205" s="356"/>
      <c r="F205" s="356"/>
      <c r="G205" s="356"/>
      <c r="H205" s="356"/>
      <c r="I205" s="356"/>
      <c r="J205" s="356"/>
      <c r="K205" s="356"/>
      <c r="L205" s="356"/>
      <c r="M205" s="356"/>
      <c r="N205" s="356"/>
      <c r="O205" s="356"/>
      <c r="P205" s="356"/>
      <c r="Q205" s="356"/>
      <c r="R205" s="356"/>
      <c r="S205" s="356"/>
      <c r="T205" s="356"/>
      <c r="U205" s="356"/>
      <c r="V205" s="356"/>
      <c r="W205" s="356"/>
      <c r="X205" s="356"/>
      <c r="Y205" s="356"/>
      <c r="Z205" s="356"/>
      <c r="AA205" s="356"/>
      <c r="AB205" s="356"/>
    </row>
    <row r="206" spans="1:28" ht="15.5">
      <c r="A206" s="357"/>
      <c r="B206" s="357"/>
      <c r="C206" s="357"/>
      <c r="D206" s="356"/>
      <c r="E206" s="356"/>
      <c r="F206" s="356"/>
      <c r="G206" s="356"/>
      <c r="H206" s="356"/>
      <c r="I206" s="356"/>
      <c r="J206" s="356"/>
      <c r="K206" s="356"/>
      <c r="L206" s="356"/>
      <c r="M206" s="356"/>
      <c r="N206" s="356"/>
      <c r="O206" s="356"/>
      <c r="P206" s="356"/>
      <c r="Q206" s="356"/>
      <c r="R206" s="356"/>
      <c r="S206" s="356"/>
      <c r="T206" s="356"/>
      <c r="U206" s="356"/>
      <c r="V206" s="356"/>
      <c r="W206" s="356"/>
      <c r="X206" s="356"/>
      <c r="Y206" s="356"/>
      <c r="Z206" s="356"/>
      <c r="AA206" s="356"/>
      <c r="AB206" s="356"/>
    </row>
    <row r="207" spans="1:28" ht="15.5">
      <c r="A207" s="357"/>
      <c r="B207" s="357"/>
      <c r="C207" s="357"/>
      <c r="D207" s="356"/>
      <c r="E207" s="356"/>
      <c r="F207" s="356"/>
      <c r="G207" s="356"/>
      <c r="H207" s="356"/>
      <c r="I207" s="356"/>
      <c r="J207" s="356"/>
      <c r="K207" s="356"/>
      <c r="L207" s="356"/>
      <c r="M207" s="356"/>
      <c r="N207" s="356"/>
      <c r="O207" s="356"/>
      <c r="P207" s="356"/>
      <c r="Q207" s="356"/>
      <c r="R207" s="356"/>
      <c r="S207" s="356"/>
      <c r="T207" s="356"/>
      <c r="U207" s="356"/>
      <c r="V207" s="356"/>
      <c r="W207" s="356"/>
      <c r="X207" s="356"/>
      <c r="Y207" s="356"/>
      <c r="Z207" s="356"/>
      <c r="AA207" s="356"/>
      <c r="AB207" s="356"/>
    </row>
    <row r="208" spans="1:28" ht="15.5">
      <c r="A208" s="357"/>
      <c r="B208" s="357"/>
      <c r="C208" s="357"/>
      <c r="D208" s="356"/>
      <c r="E208" s="356"/>
      <c r="F208" s="356"/>
      <c r="G208" s="356"/>
      <c r="H208" s="356"/>
      <c r="I208" s="356"/>
      <c r="J208" s="356"/>
      <c r="K208" s="356"/>
      <c r="L208" s="356"/>
      <c r="M208" s="356"/>
      <c r="N208" s="356"/>
      <c r="O208" s="356"/>
      <c r="P208" s="356"/>
      <c r="Q208" s="356"/>
      <c r="R208" s="356"/>
      <c r="S208" s="356"/>
      <c r="T208" s="356"/>
      <c r="U208" s="356"/>
      <c r="V208" s="356"/>
      <c r="W208" s="356"/>
      <c r="X208" s="356"/>
      <c r="Y208" s="356"/>
      <c r="Z208" s="356"/>
      <c r="AA208" s="356"/>
      <c r="AB208" s="356"/>
    </row>
    <row r="209" spans="1:28" ht="15.5">
      <c r="A209" s="357"/>
      <c r="B209" s="357"/>
      <c r="C209" s="357"/>
      <c r="D209" s="356"/>
      <c r="E209" s="356"/>
      <c r="F209" s="356"/>
      <c r="G209" s="356"/>
      <c r="H209" s="356"/>
      <c r="I209" s="356"/>
      <c r="J209" s="356"/>
      <c r="K209" s="356"/>
      <c r="L209" s="356"/>
      <c r="M209" s="356"/>
      <c r="N209" s="356"/>
      <c r="O209" s="356"/>
      <c r="P209" s="356"/>
      <c r="Q209" s="356"/>
      <c r="R209" s="356"/>
      <c r="S209" s="356"/>
      <c r="T209" s="356"/>
      <c r="U209" s="356"/>
      <c r="V209" s="356"/>
      <c r="W209" s="356"/>
      <c r="X209" s="356"/>
      <c r="Y209" s="356"/>
      <c r="Z209" s="356"/>
      <c r="AA209" s="356"/>
      <c r="AB209" s="356"/>
    </row>
    <row r="210" spans="1:28" ht="15.5">
      <c r="A210" s="357"/>
      <c r="B210" s="357"/>
      <c r="C210" s="357"/>
      <c r="D210" s="356"/>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c r="AA210" s="356"/>
      <c r="AB210" s="356"/>
    </row>
    <row r="211" spans="1:28" ht="15.5">
      <c r="A211" s="357"/>
      <c r="B211" s="357"/>
      <c r="C211" s="357"/>
      <c r="D211" s="356"/>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c r="AA211" s="356"/>
      <c r="AB211" s="356"/>
    </row>
    <row r="212" spans="1:28" ht="15.5">
      <c r="A212" s="357"/>
      <c r="B212" s="357"/>
      <c r="C212" s="357"/>
      <c r="D212" s="356"/>
      <c r="E212" s="356"/>
      <c r="F212" s="356"/>
      <c r="G212" s="356"/>
      <c r="H212" s="356"/>
      <c r="I212" s="356"/>
      <c r="J212" s="356"/>
      <c r="K212" s="356"/>
      <c r="L212" s="356"/>
      <c r="M212" s="356"/>
      <c r="N212" s="356"/>
      <c r="O212" s="356"/>
      <c r="P212" s="356"/>
      <c r="Q212" s="356"/>
      <c r="R212" s="356"/>
      <c r="S212" s="356"/>
      <c r="T212" s="356"/>
      <c r="U212" s="356"/>
      <c r="V212" s="356"/>
      <c r="W212" s="356"/>
      <c r="X212" s="356"/>
      <c r="Y212" s="356"/>
      <c r="Z212" s="356"/>
      <c r="AA212" s="356"/>
      <c r="AB212" s="356"/>
    </row>
    <row r="213" spans="1:28" ht="15.5">
      <c r="A213" s="357"/>
      <c r="B213" s="357"/>
      <c r="C213" s="357"/>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row>
    <row r="214" spans="1:28" ht="15.5">
      <c r="A214" s="357"/>
      <c r="B214" s="357"/>
      <c r="C214" s="357"/>
      <c r="D214" s="356"/>
      <c r="E214" s="356"/>
      <c r="F214" s="356"/>
      <c r="G214" s="356"/>
      <c r="H214" s="356"/>
      <c r="I214" s="356"/>
      <c r="J214" s="356"/>
      <c r="K214" s="356"/>
      <c r="L214" s="356"/>
      <c r="M214" s="356"/>
      <c r="N214" s="356"/>
      <c r="O214" s="356"/>
      <c r="P214" s="356"/>
      <c r="Q214" s="356"/>
      <c r="R214" s="356"/>
      <c r="S214" s="356"/>
      <c r="T214" s="356"/>
      <c r="U214" s="356"/>
      <c r="V214" s="356"/>
      <c r="W214" s="356"/>
      <c r="X214" s="356"/>
      <c r="Y214" s="356"/>
      <c r="Z214" s="356"/>
      <c r="AA214" s="356"/>
      <c r="AB214" s="356"/>
    </row>
    <row r="215" spans="1:28" ht="15.5">
      <c r="A215" s="357"/>
      <c r="B215" s="357"/>
      <c r="C215" s="357"/>
      <c r="D215" s="356"/>
      <c r="E215" s="356"/>
      <c r="F215" s="356"/>
      <c r="G215" s="356"/>
      <c r="H215" s="356"/>
      <c r="I215" s="356"/>
      <c r="J215" s="356"/>
      <c r="K215" s="356"/>
      <c r="L215" s="356"/>
      <c r="M215" s="356"/>
      <c r="N215" s="356"/>
      <c r="O215" s="356"/>
      <c r="P215" s="356"/>
      <c r="Q215" s="356"/>
      <c r="R215" s="356"/>
      <c r="S215" s="356"/>
      <c r="T215" s="356"/>
      <c r="U215" s="356"/>
      <c r="V215" s="356"/>
      <c r="W215" s="356"/>
      <c r="X215" s="356"/>
      <c r="Y215" s="356"/>
      <c r="Z215" s="356"/>
      <c r="AA215" s="356"/>
      <c r="AB215" s="356"/>
    </row>
    <row r="216" spans="1:28" ht="15.5">
      <c r="A216" s="357"/>
      <c r="B216" s="357"/>
      <c r="C216" s="357"/>
      <c r="D216" s="356"/>
      <c r="E216" s="356"/>
      <c r="F216" s="356"/>
      <c r="G216" s="356"/>
      <c r="H216" s="356"/>
      <c r="I216" s="356"/>
      <c r="J216" s="356"/>
      <c r="K216" s="356"/>
      <c r="L216" s="356"/>
      <c r="M216" s="356"/>
      <c r="N216" s="356"/>
      <c r="O216" s="356"/>
      <c r="P216" s="356"/>
      <c r="Q216" s="356"/>
      <c r="R216" s="356"/>
      <c r="S216" s="356"/>
      <c r="T216" s="356"/>
      <c r="U216" s="356"/>
      <c r="V216" s="356"/>
      <c r="W216" s="356"/>
      <c r="X216" s="356"/>
      <c r="Y216" s="356"/>
      <c r="Z216" s="356"/>
      <c r="AA216" s="356"/>
      <c r="AB216" s="356"/>
    </row>
    <row r="217" spans="1:28" ht="15.5">
      <c r="A217" s="357"/>
      <c r="B217" s="357"/>
      <c r="C217" s="357"/>
      <c r="D217" s="356"/>
      <c r="E217" s="356"/>
      <c r="F217" s="356"/>
      <c r="G217" s="356"/>
      <c r="H217" s="356"/>
      <c r="I217" s="356"/>
      <c r="J217" s="356"/>
      <c r="K217" s="356"/>
      <c r="L217" s="356"/>
      <c r="M217" s="356"/>
      <c r="N217" s="356"/>
      <c r="O217" s="356"/>
      <c r="P217" s="356"/>
      <c r="Q217" s="356"/>
      <c r="R217" s="356"/>
      <c r="S217" s="356"/>
      <c r="T217" s="356"/>
      <c r="U217" s="356"/>
      <c r="V217" s="356"/>
      <c r="W217" s="356"/>
      <c r="X217" s="356"/>
      <c r="Y217" s="356"/>
      <c r="Z217" s="356"/>
      <c r="AA217" s="356"/>
      <c r="AB217" s="356"/>
    </row>
    <row r="218" spans="1:28" ht="15.5">
      <c r="A218" s="357"/>
      <c r="B218" s="357"/>
      <c r="C218" s="357"/>
      <c r="D218" s="356"/>
      <c r="E218" s="356"/>
      <c r="F218" s="356"/>
      <c r="G218" s="356"/>
      <c r="H218" s="356"/>
      <c r="I218" s="356"/>
      <c r="J218" s="356"/>
      <c r="K218" s="356"/>
      <c r="L218" s="356"/>
      <c r="M218" s="356"/>
      <c r="N218" s="356"/>
      <c r="O218" s="356"/>
      <c r="P218" s="356"/>
      <c r="Q218" s="356"/>
      <c r="R218" s="356"/>
      <c r="S218" s="356"/>
      <c r="T218" s="356"/>
      <c r="U218" s="356"/>
      <c r="V218" s="356"/>
      <c r="W218" s="356"/>
      <c r="X218" s="356"/>
      <c r="Y218" s="356"/>
      <c r="Z218" s="356"/>
      <c r="AA218" s="356"/>
      <c r="AB218" s="356"/>
    </row>
    <row r="219" spans="1:28" ht="15.5">
      <c r="A219" s="357"/>
      <c r="B219" s="357"/>
      <c r="C219" s="357"/>
      <c r="D219" s="356"/>
      <c r="E219" s="356"/>
      <c r="F219" s="356"/>
      <c r="G219" s="356"/>
      <c r="H219" s="356"/>
      <c r="I219" s="356"/>
      <c r="J219" s="356"/>
      <c r="K219" s="356"/>
      <c r="L219" s="356"/>
      <c r="M219" s="356"/>
      <c r="N219" s="356"/>
      <c r="O219" s="356"/>
      <c r="P219" s="356"/>
      <c r="Q219" s="356"/>
      <c r="R219" s="356"/>
      <c r="S219" s="356"/>
      <c r="T219" s="356"/>
      <c r="U219" s="356"/>
      <c r="V219" s="356"/>
      <c r="W219" s="356"/>
      <c r="X219" s="356"/>
      <c r="Y219" s="356"/>
      <c r="Z219" s="356"/>
      <c r="AA219" s="356"/>
      <c r="AB219" s="356"/>
    </row>
    <row r="220" spans="1:28" ht="15.5">
      <c r="A220" s="357"/>
      <c r="B220" s="357"/>
      <c r="C220" s="357"/>
      <c r="D220" s="356"/>
      <c r="E220" s="356"/>
      <c r="F220" s="356"/>
      <c r="G220" s="356"/>
      <c r="H220" s="356"/>
      <c r="I220" s="356"/>
      <c r="J220" s="356"/>
      <c r="K220" s="356"/>
      <c r="L220" s="356"/>
      <c r="M220" s="356"/>
      <c r="N220" s="356"/>
      <c r="O220" s="356"/>
      <c r="P220" s="356"/>
      <c r="Q220" s="356"/>
      <c r="R220" s="356"/>
      <c r="S220" s="356"/>
      <c r="T220" s="356"/>
      <c r="U220" s="356"/>
      <c r="V220" s="356"/>
      <c r="W220" s="356"/>
      <c r="X220" s="356"/>
      <c r="Y220" s="356"/>
      <c r="Z220" s="356"/>
      <c r="AA220" s="356"/>
      <c r="AB220" s="356"/>
    </row>
    <row r="221" spans="1:28" ht="15.5">
      <c r="A221" s="357"/>
      <c r="B221" s="357"/>
      <c r="C221" s="357"/>
      <c r="D221" s="356"/>
      <c r="E221" s="356"/>
      <c r="F221" s="356"/>
      <c r="G221" s="356"/>
      <c r="H221" s="356"/>
      <c r="I221" s="356"/>
      <c r="J221" s="356"/>
      <c r="K221" s="356"/>
      <c r="L221" s="356"/>
      <c r="M221" s="356"/>
      <c r="N221" s="356"/>
      <c r="O221" s="356"/>
      <c r="P221" s="356"/>
      <c r="Q221" s="356"/>
      <c r="R221" s="356"/>
      <c r="S221" s="356"/>
      <c r="T221" s="356"/>
      <c r="U221" s="356"/>
      <c r="V221" s="356"/>
      <c r="W221" s="356"/>
      <c r="X221" s="356"/>
      <c r="Y221" s="356"/>
      <c r="Z221" s="356"/>
      <c r="AA221" s="356"/>
      <c r="AB221" s="356"/>
    </row>
    <row r="222" spans="1:28" ht="15.5">
      <c r="A222" s="357"/>
      <c r="B222" s="357"/>
      <c r="C222" s="357"/>
      <c r="D222" s="356"/>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c r="AA222" s="356"/>
      <c r="AB222" s="356"/>
    </row>
    <row r="223" spans="1:28" ht="15.5">
      <c r="B223" s="357"/>
      <c r="C223" s="357"/>
      <c r="D223" s="356"/>
      <c r="E223" s="356"/>
      <c r="F223" s="356"/>
      <c r="G223" s="356"/>
      <c r="H223" s="356"/>
      <c r="I223" s="356"/>
      <c r="J223" s="356"/>
      <c r="K223" s="356"/>
      <c r="L223" s="356"/>
      <c r="M223" s="356"/>
      <c r="N223" s="356"/>
      <c r="O223" s="356"/>
      <c r="P223" s="356"/>
      <c r="Q223" s="356"/>
      <c r="R223" s="356"/>
      <c r="S223" s="356"/>
      <c r="T223" s="356"/>
      <c r="U223" s="356"/>
      <c r="V223" s="356"/>
      <c r="W223" s="356"/>
      <c r="X223" s="356"/>
      <c r="Y223" s="356"/>
      <c r="Z223" s="356"/>
      <c r="AA223" s="356"/>
      <c r="AB223" s="356"/>
    </row>
    <row r="224" spans="1:28" ht="15.5">
      <c r="B224" s="357"/>
      <c r="C224" s="357"/>
      <c r="D224" s="356"/>
      <c r="E224" s="356"/>
      <c r="F224" s="356"/>
      <c r="G224" s="356"/>
      <c r="H224" s="356"/>
      <c r="I224" s="356"/>
      <c r="J224" s="356"/>
      <c r="K224" s="356"/>
      <c r="L224" s="356"/>
      <c r="M224" s="356"/>
      <c r="N224" s="356"/>
      <c r="O224" s="356"/>
      <c r="P224" s="356"/>
      <c r="Q224" s="356"/>
      <c r="R224" s="356"/>
      <c r="S224" s="356"/>
      <c r="T224" s="356"/>
      <c r="U224" s="356"/>
      <c r="V224" s="356"/>
      <c r="W224" s="356"/>
      <c r="X224" s="356"/>
      <c r="Y224" s="356"/>
      <c r="Z224" s="356"/>
      <c r="AA224" s="356"/>
      <c r="AB224" s="356"/>
    </row>
    <row r="244" spans="1:6">
      <c r="A244" s="625"/>
    </row>
    <row r="245" spans="1:6">
      <c r="A245" s="625"/>
    </row>
    <row r="246" spans="1:6">
      <c r="A246" s="625"/>
      <c r="B246" s="625"/>
      <c r="C246" s="625"/>
      <c r="D246" s="477"/>
      <c r="E246" s="477"/>
      <c r="F246" s="477"/>
    </row>
    <row r="247" spans="1:6">
      <c r="A247" s="625"/>
      <c r="B247" s="625"/>
      <c r="C247" s="625"/>
      <c r="D247" s="477"/>
      <c r="E247" s="477"/>
      <c r="F247" s="477"/>
    </row>
    <row r="248" spans="1:6">
      <c r="A248" s="625"/>
      <c r="B248" s="625"/>
      <c r="C248" s="625"/>
      <c r="D248" s="477"/>
      <c r="E248" s="477"/>
      <c r="F248" s="477"/>
    </row>
    <row r="249" spans="1:6">
      <c r="A249" s="625"/>
      <c r="B249" s="625"/>
      <c r="C249" s="625"/>
      <c r="D249" s="477"/>
      <c r="E249" s="477"/>
      <c r="F249" s="477"/>
    </row>
    <row r="250" spans="1:6">
      <c r="A250" s="625"/>
      <c r="B250" s="625"/>
      <c r="C250" s="625"/>
      <c r="D250" s="477"/>
      <c r="E250" s="477"/>
      <c r="F250" s="477"/>
    </row>
    <row r="251" spans="1:6">
      <c r="A251" s="625"/>
      <c r="B251" s="625"/>
      <c r="C251" s="625"/>
      <c r="D251" s="477"/>
      <c r="E251" s="477"/>
      <c r="F251" s="477"/>
    </row>
    <row r="252" spans="1:6">
      <c r="A252" s="625"/>
      <c r="B252" s="625"/>
      <c r="C252" s="625"/>
      <c r="D252" s="477"/>
      <c r="E252" s="477"/>
      <c r="F252" s="477"/>
    </row>
    <row r="253" spans="1:6">
      <c r="B253" s="625"/>
      <c r="C253" s="625"/>
      <c r="D253" s="477"/>
      <c r="E253" s="477"/>
      <c r="F253" s="477"/>
    </row>
    <row r="254" spans="1:6">
      <c r="B254" s="625"/>
      <c r="C254" s="625"/>
      <c r="D254" s="477"/>
      <c r="E254" s="477"/>
      <c r="F254" s="477"/>
    </row>
  </sheetData>
  <mergeCells count="3">
    <mergeCell ref="A1:J1"/>
    <mergeCell ref="A3:J3"/>
    <mergeCell ref="D66:G66"/>
  </mergeCells>
  <phoneticPr fontId="0" type="noConversion"/>
  <printOptions horizontalCentered="1"/>
  <pageMargins left="0.75" right="0.5" top="1" bottom="0.5" header="0.5" footer="0.5"/>
  <pageSetup scale="76" fitToHeight="2" orientation="portrait" r:id="rId1"/>
  <headerFooter alignWithMargins="0">
    <oddHeader xml:space="preserve">&amp;L&amp;"Arial,Bold"&amp;11
&amp;R&amp;"Times New Roman,Bold"&amp;11Appendix A
Page &amp;P of &amp;N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J400"/>
  <sheetViews>
    <sheetView zoomScale="85" zoomScaleNormal="85" zoomScaleSheetLayoutView="50" workbookViewId="0">
      <selection sqref="A1:AQ1"/>
    </sheetView>
  </sheetViews>
  <sheetFormatPr defaultColWidth="9.1796875" defaultRowHeight="12.5"/>
  <cols>
    <col min="1" max="1" width="22.26953125" style="473" customWidth="1"/>
    <col min="2" max="2" width="13" style="704" customWidth="1"/>
    <col min="3" max="5" width="15" style="473" customWidth="1"/>
    <col min="6" max="6" width="15" style="676" customWidth="1"/>
    <col min="7" max="9" width="15" style="473" customWidth="1"/>
    <col min="10" max="10" width="15" style="676" customWidth="1"/>
    <col min="11" max="18" width="15" style="473" customWidth="1"/>
    <col min="19" max="19" width="12" style="473" customWidth="1"/>
    <col min="20" max="20" width="15" style="473" customWidth="1"/>
    <col min="21" max="21" width="11.26953125" style="473" customWidth="1"/>
    <col min="22" max="22" width="10.26953125" style="473" customWidth="1"/>
    <col min="23" max="23" width="12" style="473" customWidth="1"/>
    <col min="24" max="24" width="15" style="473" customWidth="1"/>
    <col min="25" max="25" width="11.26953125" style="473" customWidth="1"/>
    <col min="26" max="26" width="10.26953125" style="473" customWidth="1"/>
    <col min="27" max="27" width="12" style="473" customWidth="1"/>
    <col min="28" max="28" width="15" style="473" customWidth="1"/>
    <col min="29" max="29" width="11.26953125" style="473" customWidth="1"/>
    <col min="30" max="30" width="11.453125" style="473" customWidth="1"/>
    <col min="31" max="31" width="15.54296875" style="473" customWidth="1"/>
    <col min="32" max="32" width="16.1796875" style="473" customWidth="1"/>
    <col min="33" max="33" width="14.81640625" style="473" customWidth="1"/>
    <col min="34" max="34" width="17.7265625" style="473" customWidth="1"/>
    <col min="35" max="38" width="15.26953125" style="473" customWidth="1"/>
    <col min="39" max="39" width="12.453125" style="473" bestFit="1" customWidth="1"/>
    <col min="40" max="43" width="15.26953125" style="473" customWidth="1"/>
    <col min="44" max="44" width="15" style="473" customWidth="1"/>
    <col min="45" max="45" width="11.26953125" style="473" bestFit="1" customWidth="1"/>
    <col min="46" max="46" width="10.26953125" style="473" bestFit="1" customWidth="1"/>
    <col min="47" max="70" width="0" style="473" hidden="1" customWidth="1"/>
    <col min="71" max="71" width="12.453125" style="473" bestFit="1" customWidth="1"/>
    <col min="72" max="72" width="15" style="473" customWidth="1"/>
    <col min="73" max="74" width="9.1796875" style="473"/>
    <col min="75" max="75" width="14" style="473" bestFit="1" customWidth="1"/>
    <col min="76" max="76" width="15" style="473" customWidth="1"/>
    <col min="77" max="77" width="11.26953125" style="473" bestFit="1" customWidth="1"/>
    <col min="78" max="78" width="10.26953125" style="473" bestFit="1" customWidth="1"/>
    <col min="79" max="79" width="12.81640625" style="473" bestFit="1" customWidth="1"/>
    <col min="80" max="80" width="15" style="473" customWidth="1"/>
    <col min="81" max="81" width="10.26953125" style="473" bestFit="1" customWidth="1"/>
    <col min="82" max="82" width="9.1796875" style="473"/>
    <col min="83" max="83" width="12.453125" style="473" bestFit="1" customWidth="1"/>
    <col min="84" max="84" width="15" style="473" customWidth="1"/>
    <col min="85" max="86" width="9.1796875" style="473"/>
    <col min="87" max="87" width="12.453125" style="473" bestFit="1" customWidth="1"/>
    <col min="88" max="88" width="15" style="473" customWidth="1"/>
    <col min="89" max="90" width="9.1796875" style="473"/>
    <col min="91" max="91" width="14" style="473" bestFit="1" customWidth="1"/>
    <col min="92" max="93" width="11.26953125" style="473" bestFit="1" customWidth="1"/>
    <col min="94" max="94" width="12.81640625" style="473" bestFit="1" customWidth="1"/>
    <col min="95" max="95" width="14" style="473" bestFit="1" customWidth="1"/>
    <col min="96" max="96" width="12.81640625" style="473" customWidth="1"/>
    <col min="97" max="97" width="11.81640625" style="473" bestFit="1" customWidth="1"/>
    <col min="98" max="98" width="12.81640625" style="473" bestFit="1" customWidth="1"/>
    <col min="99" max="99" width="13.7265625" style="473" customWidth="1"/>
    <col min="100" max="100" width="11.81640625" style="473" customWidth="1"/>
    <col min="101" max="101" width="12.26953125" style="473" customWidth="1"/>
    <col min="102" max="135" width="13.1796875" style="473" customWidth="1"/>
    <col min="136" max="136" width="16" style="473" customWidth="1"/>
    <col min="137" max="139" width="13.1796875" style="473" customWidth="1"/>
    <col min="140" max="140" width="17.54296875" style="473" customWidth="1"/>
    <col min="141" max="154" width="13.1796875" style="473" customWidth="1"/>
    <col min="155" max="155" width="12.7265625" style="473" bestFit="1" customWidth="1"/>
    <col min="156" max="156" width="17.81640625" style="473" bestFit="1" customWidth="1"/>
    <col min="157" max="157" width="15.1796875" style="473" bestFit="1" customWidth="1"/>
    <col min="158" max="158" width="11.26953125" style="473" bestFit="1" customWidth="1"/>
    <col min="159" max="159" width="9.1796875" style="473"/>
    <col min="160" max="160" width="12" style="473" bestFit="1" customWidth="1"/>
    <col min="161" max="161" width="15" style="473" customWidth="1"/>
    <col min="162" max="162" width="11.26953125" style="473" bestFit="1" customWidth="1"/>
    <col min="163" max="163" width="10.26953125" style="473" bestFit="1" customWidth="1"/>
    <col min="164" max="164" width="12" style="473" bestFit="1" customWidth="1"/>
    <col min="165" max="165" width="15" style="473" customWidth="1"/>
    <col min="166" max="166" width="11.26953125" style="473" bestFit="1" customWidth="1"/>
    <col min="167" max="167" width="10.26953125" style="473" customWidth="1"/>
    <col min="168" max="168" width="12" style="473" bestFit="1" customWidth="1"/>
    <col min="169" max="169" width="15.453125" style="473" customWidth="1"/>
    <col min="170" max="170" width="11.26953125" style="473" bestFit="1" customWidth="1"/>
    <col min="171" max="171" width="10.26953125" style="473" bestFit="1" customWidth="1"/>
    <col min="172" max="172" width="10.26953125" style="473" customWidth="1"/>
    <col min="173" max="173" width="15" style="473" customWidth="1"/>
    <col min="174" max="175" width="10.26953125" style="473" customWidth="1"/>
    <col min="176" max="176" width="12" style="473" bestFit="1" customWidth="1"/>
    <col min="177" max="177" width="16.7265625" style="473" customWidth="1"/>
    <col min="178" max="178" width="11.26953125" style="473" bestFit="1" customWidth="1"/>
    <col min="179" max="179" width="10.26953125" style="473" bestFit="1" customWidth="1"/>
    <col min="180" max="180" width="12" style="473" bestFit="1" customWidth="1"/>
    <col min="181" max="181" width="16" style="473" customWidth="1"/>
    <col min="182" max="183" width="11.26953125" style="473" bestFit="1" customWidth="1"/>
    <col min="184" max="184" width="13.7265625" style="473" customWidth="1"/>
    <col min="185" max="185" width="13.81640625" style="473" customWidth="1"/>
    <col min="186" max="186" width="13.54296875" style="473" customWidth="1"/>
    <col min="187" max="187" width="14.7265625" style="473" customWidth="1"/>
    <col min="188" max="188" width="13.7265625" style="473" customWidth="1"/>
    <col min="189" max="189" width="15.453125" style="473" customWidth="1"/>
    <col min="190" max="190" width="12.7265625" style="473" customWidth="1"/>
    <col min="191" max="191" width="14.81640625" style="473" customWidth="1"/>
    <col min="192" max="192" width="13.1796875" style="473" customWidth="1"/>
    <col min="193" max="193" width="14" style="473" customWidth="1"/>
    <col min="194" max="194" width="14.1796875" style="473" customWidth="1"/>
    <col min="195" max="195" width="12.81640625" style="473" customWidth="1"/>
    <col min="196" max="196" width="13.453125" style="473" customWidth="1"/>
    <col min="197" max="197" width="13" style="473" customWidth="1"/>
    <col min="198" max="198" width="13.453125" style="473" customWidth="1"/>
    <col min="199" max="204" width="12.54296875" style="473" customWidth="1"/>
    <col min="205" max="205" width="13.81640625" style="473" customWidth="1"/>
    <col min="206" max="208" width="12.54296875" style="473" customWidth="1"/>
    <col min="209" max="209" width="14.81640625" style="473" customWidth="1"/>
    <col min="210" max="231" width="12.54296875" style="473" customWidth="1"/>
    <col min="232" max="232" width="11.26953125" style="473" bestFit="1" customWidth="1"/>
    <col min="233" max="233" width="10.7265625" style="473" customWidth="1"/>
    <col min="234" max="234" width="15" style="473" customWidth="1"/>
    <col min="235" max="235" width="9.1796875" style="473"/>
    <col min="236" max="236" width="15.81640625" style="473" customWidth="1"/>
    <col min="237" max="237" width="12.1796875" style="473" customWidth="1"/>
    <col min="238" max="238" width="15" style="473" customWidth="1"/>
    <col min="239" max="239" width="12" style="473" customWidth="1"/>
    <col min="240" max="240" width="10.453125" style="473" bestFit="1" customWidth="1"/>
    <col min="241" max="241" width="12.1796875" style="473" customWidth="1"/>
    <col min="242" max="242" width="15.54296875" style="473" customWidth="1"/>
    <col min="243" max="244" width="12.1796875" style="473" customWidth="1"/>
    <col min="245" max="16384" width="9.1796875" style="473"/>
  </cols>
  <sheetData>
    <row r="1" spans="1:185" ht="18" customHeight="1">
      <c r="A1" s="1560" t="str">
        <f>+'ATT H-2A'!A4</f>
        <v>Baltimore Gas and Electric Company</v>
      </c>
      <c r="B1" s="1560"/>
      <c r="C1" s="1560"/>
      <c r="D1" s="1560"/>
      <c r="E1" s="1560"/>
      <c r="F1" s="1560"/>
      <c r="G1" s="1560"/>
      <c r="H1" s="1560"/>
      <c r="I1" s="1560"/>
      <c r="J1" s="1560"/>
      <c r="K1" s="1560"/>
      <c r="L1" s="1560"/>
      <c r="M1" s="1560"/>
      <c r="N1" s="1560"/>
      <c r="O1" s="1560"/>
      <c r="P1" s="1560"/>
      <c r="Q1" s="1560"/>
      <c r="R1" s="1560"/>
      <c r="S1" s="1560"/>
      <c r="T1" s="1560"/>
      <c r="U1" s="1560"/>
      <c r="V1" s="1560"/>
      <c r="W1" s="1560"/>
      <c r="X1" s="1560"/>
      <c r="Y1" s="1560"/>
      <c r="Z1" s="1560"/>
      <c r="AA1" s="1560"/>
      <c r="AB1" s="1560"/>
      <c r="AC1" s="1560"/>
      <c r="AD1" s="1560"/>
      <c r="AE1" s="1560"/>
      <c r="AF1" s="1560"/>
      <c r="AG1" s="1560"/>
      <c r="AH1" s="1560"/>
      <c r="AI1" s="1560"/>
      <c r="AJ1" s="1560"/>
      <c r="AK1" s="1560"/>
      <c r="AL1" s="1560"/>
      <c r="AM1" s="1560"/>
      <c r="AN1" s="1560"/>
      <c r="AO1" s="1560"/>
      <c r="AP1" s="1560"/>
      <c r="AQ1" s="1560"/>
    </row>
    <row r="3" spans="1:185" ht="15.5">
      <c r="A3" s="1562" t="s">
        <v>49</v>
      </c>
      <c r="B3" s="1562"/>
      <c r="C3" s="1562"/>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row>
    <row r="5" spans="1:185">
      <c r="GC5" s="779"/>
    </row>
    <row r="6" spans="1:185">
      <c r="GC6" s="779"/>
    </row>
    <row r="7" spans="1:185">
      <c r="A7" s="473" t="s">
        <v>426</v>
      </c>
      <c r="GC7" s="779"/>
    </row>
    <row r="8" spans="1:185">
      <c r="GC8" s="779"/>
    </row>
    <row r="9" spans="1:185" ht="13">
      <c r="A9" s="123" t="s">
        <v>396</v>
      </c>
      <c r="GC9" s="779"/>
    </row>
    <row r="10" spans="1:185" ht="13">
      <c r="A10" s="123"/>
      <c r="B10" s="704" t="s">
        <v>424</v>
      </c>
      <c r="GC10" s="779"/>
    </row>
    <row r="11" spans="1:185">
      <c r="A11" s="704" t="s">
        <v>156</v>
      </c>
      <c r="B11" s="490">
        <v>159</v>
      </c>
      <c r="C11" s="677" t="str">
        <f>+'ATT H-2A'!C290</f>
        <v>Net Plant Carrying Charge without Depreciation</v>
      </c>
      <c r="F11" s="491"/>
      <c r="L11" s="734">
        <f>+'ATT H-2A'!H290</f>
        <v>0.112549269769912</v>
      </c>
      <c r="GC11" s="779"/>
    </row>
    <row r="12" spans="1:185">
      <c r="A12" s="704" t="s">
        <v>293</v>
      </c>
      <c r="B12" s="490">
        <v>166</v>
      </c>
      <c r="C12" s="677" t="str">
        <f>+'ATT H-2A'!C300</f>
        <v>Net Plant Carrying Charge per 100 basis point increase in ROE without Depreciation</v>
      </c>
      <c r="F12" s="491"/>
      <c r="L12" s="734">
        <f>+'ATT H-2A'!H300</f>
        <v>0.11906753555682309</v>
      </c>
      <c r="GC12" s="779"/>
    </row>
    <row r="13" spans="1:185">
      <c r="A13" s="704" t="s">
        <v>133</v>
      </c>
      <c r="C13" s="473" t="s">
        <v>398</v>
      </c>
      <c r="F13" s="491"/>
      <c r="L13" s="734">
        <f>+L12-L11</f>
        <v>6.5182657869110872E-3</v>
      </c>
      <c r="GC13" s="779"/>
    </row>
    <row r="14" spans="1:185">
      <c r="F14" s="491"/>
      <c r="L14" s="734"/>
      <c r="GC14" s="779"/>
    </row>
    <row r="15" spans="1:185" ht="13">
      <c r="A15" s="123" t="s">
        <v>395</v>
      </c>
      <c r="F15" s="491"/>
      <c r="L15" s="734"/>
      <c r="GC15" s="779"/>
    </row>
    <row r="16" spans="1:185" ht="13">
      <c r="A16" s="123"/>
      <c r="F16" s="491"/>
      <c r="L16" s="734"/>
    </row>
    <row r="17" spans="1:244">
      <c r="A17" s="704" t="s">
        <v>157</v>
      </c>
      <c r="B17" s="490">
        <v>160</v>
      </c>
      <c r="C17" s="677" t="str">
        <f>+'ATT H-2A'!C291</f>
        <v>Net Plant Carrying Charge without Depreciation, Return, nor Income Taxes</v>
      </c>
      <c r="F17" s="491"/>
      <c r="L17" s="734">
        <f>+'ATT H-2A'!H291</f>
        <v>3.525790885980342E-2</v>
      </c>
    </row>
    <row r="19" spans="1:244" ht="13">
      <c r="A19" s="101" t="s">
        <v>58</v>
      </c>
      <c r="B19" s="762"/>
    </row>
    <row r="20" spans="1:244" ht="13">
      <c r="A20" s="101" t="s">
        <v>552</v>
      </c>
      <c r="B20" s="762"/>
    </row>
    <row r="21" spans="1:244" ht="12.75" customHeight="1">
      <c r="A21" s="101" t="s">
        <v>767</v>
      </c>
      <c r="B21" s="484"/>
      <c r="C21" s="484"/>
      <c r="D21" s="484"/>
      <c r="E21" s="484"/>
      <c r="F21" s="484"/>
      <c r="G21" s="484"/>
      <c r="H21" s="484"/>
      <c r="I21" s="484"/>
      <c r="J21" s="484"/>
      <c r="K21" s="484"/>
      <c r="L21" s="484"/>
      <c r="M21" s="484"/>
      <c r="N21" s="484"/>
      <c r="O21" s="484"/>
      <c r="P21" s="484"/>
      <c r="Q21" s="484"/>
      <c r="R21" s="484"/>
      <c r="U21" s="484"/>
      <c r="V21" s="484"/>
      <c r="W21" s="484"/>
      <c r="X21" s="484"/>
      <c r="Y21" s="484"/>
      <c r="Z21" s="484"/>
      <c r="AA21" s="484"/>
      <c r="AB21" s="484"/>
      <c r="AC21" s="484"/>
      <c r="AD21" s="484"/>
      <c r="AE21" s="484"/>
      <c r="AF21" s="484"/>
      <c r="AG21" s="484"/>
      <c r="EA21" s="580"/>
      <c r="EE21" s="580"/>
      <c r="EI21" s="580"/>
      <c r="EM21" s="580"/>
      <c r="EQ21" s="580"/>
      <c r="EU21" s="580"/>
      <c r="HT21" s="483"/>
      <c r="HU21" s="483"/>
      <c r="HV21" s="483"/>
      <c r="HW21" s="483"/>
    </row>
    <row r="22" spans="1:244" ht="13.75" customHeight="1" thickBot="1">
      <c r="A22" s="101" t="s">
        <v>768</v>
      </c>
      <c r="B22" s="484"/>
      <c r="C22" s="484"/>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c r="AE22" s="484"/>
      <c r="AF22" s="484"/>
      <c r="AG22" s="484"/>
    </row>
    <row r="23" spans="1:244" ht="25.5" customHeight="1">
      <c r="A23" s="543" t="s">
        <v>389</v>
      </c>
      <c r="B23" s="628"/>
      <c r="C23" s="1659" t="s">
        <v>1002</v>
      </c>
      <c r="D23" s="1590"/>
      <c r="E23" s="1590"/>
      <c r="F23" s="1660"/>
      <c r="G23" s="1647" t="s">
        <v>998</v>
      </c>
      <c r="H23" s="1648"/>
      <c r="I23" s="1648"/>
      <c r="J23" s="1649"/>
      <c r="K23" s="1647" t="s">
        <v>742</v>
      </c>
      <c r="L23" s="1648"/>
      <c r="M23" s="1648"/>
      <c r="N23" s="1649"/>
      <c r="O23" s="1647" t="s">
        <v>743</v>
      </c>
      <c r="P23" s="1648" t="str">
        <f>+O23</f>
        <v>Northwest to Finksburg 2009</v>
      </c>
      <c r="Q23" s="1648" t="str">
        <f>+P23</f>
        <v>Northwest to Finksburg 2009</v>
      </c>
      <c r="R23" s="1649" t="str">
        <f>+Q23</f>
        <v>Northwest to Finksburg 2009</v>
      </c>
      <c r="S23" s="1652" t="s">
        <v>744</v>
      </c>
      <c r="T23" s="1653"/>
      <c r="U23" s="1653"/>
      <c r="V23" s="1654"/>
      <c r="W23" s="1652" t="s">
        <v>1003</v>
      </c>
      <c r="X23" s="1653"/>
      <c r="Y23" s="1653"/>
      <c r="Z23" s="1654"/>
      <c r="AA23" s="1652" t="s">
        <v>999</v>
      </c>
      <c r="AB23" s="1653"/>
      <c r="AC23" s="1653"/>
      <c r="AD23" s="1654"/>
      <c r="AE23" s="1652" t="s">
        <v>745</v>
      </c>
      <c r="AF23" s="1653"/>
      <c r="AG23" s="1653"/>
      <c r="AH23" s="1654"/>
      <c r="AI23" s="1652" t="s">
        <v>1000</v>
      </c>
      <c r="AJ23" s="1653"/>
      <c r="AK23" s="1653"/>
      <c r="AL23" s="1654"/>
      <c r="AM23" s="1661" t="s">
        <v>1001</v>
      </c>
      <c r="AN23" s="1662"/>
      <c r="AO23" s="1662"/>
      <c r="AP23" s="1663"/>
      <c r="AQ23" s="1652" t="s">
        <v>746</v>
      </c>
      <c r="AR23" s="1653"/>
      <c r="AS23" s="1653"/>
      <c r="AT23" s="1654"/>
      <c r="AU23" s="627" t="s">
        <v>414</v>
      </c>
      <c r="AV23" s="544" t="str">
        <f>+AU23</f>
        <v>Project D</v>
      </c>
      <c r="AW23" s="544" t="str">
        <f>+AV23</f>
        <v>Project D</v>
      </c>
      <c r="AX23" s="545" t="str">
        <f>+AW23</f>
        <v>Project D</v>
      </c>
      <c r="AY23" s="627" t="s">
        <v>415</v>
      </c>
      <c r="AZ23" s="544" t="str">
        <f>+AY23</f>
        <v>Project E</v>
      </c>
      <c r="BA23" s="544" t="str">
        <f>+AZ23</f>
        <v>Project E</v>
      </c>
      <c r="BB23" s="545" t="str">
        <f>+BA23</f>
        <v>Project E</v>
      </c>
      <c r="BC23" s="627" t="s">
        <v>416</v>
      </c>
      <c r="BD23" s="544" t="str">
        <f>+BC23</f>
        <v>Project F</v>
      </c>
      <c r="BE23" s="544" t="str">
        <f>+BD23</f>
        <v>Project F</v>
      </c>
      <c r="BF23" s="545" t="str">
        <f>+BE23</f>
        <v>Project F</v>
      </c>
      <c r="BG23" s="627" t="s">
        <v>417</v>
      </c>
      <c r="BH23" s="544" t="str">
        <f>+BG23</f>
        <v>Project G</v>
      </c>
      <c r="BI23" s="544" t="str">
        <f>+BH23</f>
        <v>Project G</v>
      </c>
      <c r="BJ23" s="545" t="str">
        <f>+BI23</f>
        <v>Project G</v>
      </c>
      <c r="BK23" s="627" t="s">
        <v>418</v>
      </c>
      <c r="BL23" s="544" t="str">
        <f>+BK23</f>
        <v>Project H</v>
      </c>
      <c r="BM23" s="544" t="str">
        <f>+BL23</f>
        <v>Project H</v>
      </c>
      <c r="BN23" s="545" t="str">
        <f>+BM23</f>
        <v>Project H</v>
      </c>
      <c r="BO23" s="627" t="s">
        <v>419</v>
      </c>
      <c r="BP23" s="544" t="str">
        <f>+BO23</f>
        <v>Project I</v>
      </c>
      <c r="BQ23" s="544" t="str">
        <f>+BP23</f>
        <v>Project I</v>
      </c>
      <c r="BR23" s="545" t="str">
        <f>+BQ23</f>
        <v>Project I</v>
      </c>
      <c r="BS23" s="1647" t="s">
        <v>747</v>
      </c>
      <c r="BT23" s="1648" t="str">
        <f>+BS23</f>
        <v>Northwest to Finksburg 2010</v>
      </c>
      <c r="BU23" s="1648" t="str">
        <f>+BT23</f>
        <v>Northwest to Finksburg 2010</v>
      </c>
      <c r="BV23" s="1649" t="str">
        <f>+BU23</f>
        <v>Northwest to Finksburg 2010</v>
      </c>
      <c r="BW23" s="1647" t="s">
        <v>996</v>
      </c>
      <c r="BX23" s="1648" t="str">
        <f>+BW23</f>
        <v>b0477 - Waugh Chapel 500/230 kV Transformer 2011</v>
      </c>
      <c r="BY23" s="1648" t="str">
        <f>+BX23</f>
        <v>b0477 - Waugh Chapel 500/230 kV Transformer 2011</v>
      </c>
      <c r="BZ23" s="1649" t="str">
        <f>+BY23</f>
        <v>b0477 - Waugh Chapel 500/230 kV Transformer 2011</v>
      </c>
      <c r="CA23" s="1652" t="s">
        <v>997</v>
      </c>
      <c r="CB23" s="1653"/>
      <c r="CC23" s="1653"/>
      <c r="CD23" s="1654"/>
      <c r="CE23" s="1647" t="s">
        <v>748</v>
      </c>
      <c r="CF23" s="1648" t="str">
        <f>+CE23</f>
        <v>Northwest to Finksburg 2011</v>
      </c>
      <c r="CG23" s="1648" t="str">
        <f>+CF23</f>
        <v>Northwest to Finksburg 2011</v>
      </c>
      <c r="CH23" s="1649" t="str">
        <f>+CG23</f>
        <v>Northwest to Finksburg 2011</v>
      </c>
      <c r="CI23" s="1647" t="s">
        <v>995</v>
      </c>
      <c r="CJ23" s="1648" t="str">
        <f>+CI23</f>
        <v>b0477 - Waugh Chapel 500/230 kV Transformer 2012</v>
      </c>
      <c r="CK23" s="1648" t="str">
        <f>+CJ23</f>
        <v>b0477 - Waugh Chapel 500/230 kV Transformer 2012</v>
      </c>
      <c r="CL23" s="1649" t="str">
        <f>+CK23</f>
        <v>b0477 - Waugh Chapel 500/230 kV Transformer 2012</v>
      </c>
      <c r="CM23" s="1647" t="s">
        <v>994</v>
      </c>
      <c r="CN23" s="1648" t="str">
        <f>+CM23</f>
        <v>b0497 - Second Conastone-Graceton 230kV Circuit 2016</v>
      </c>
      <c r="CO23" s="1648" t="str">
        <f>+CN23</f>
        <v>b0497 - Second Conastone-Graceton 230kV Circuit 2016</v>
      </c>
      <c r="CP23" s="1649" t="str">
        <f>+CO23</f>
        <v>b0497 - Second Conastone-Graceton 230kV Circuit 2016</v>
      </c>
      <c r="CQ23" s="1647" t="s">
        <v>991</v>
      </c>
      <c r="CR23" s="1648" t="str">
        <f>+CQ23</f>
        <v>b1016 - Rebuild Graceton-Bagley 230kV 2016</v>
      </c>
      <c r="CS23" s="1648" t="str">
        <f>+CR23</f>
        <v>b1016 - Rebuild Graceton-Bagley 230kV 2016</v>
      </c>
      <c r="CT23" s="1649" t="str">
        <f>+CS23</f>
        <v>b1016 - Rebuild Graceton-Bagley 230kV 2016</v>
      </c>
      <c r="CU23" s="1647" t="s">
        <v>986</v>
      </c>
      <c r="CV23" s="1648" t="str">
        <f>+CU23</f>
        <v>b1251.1 - Rebuild Raphael-Bagley 230 kV 2016</v>
      </c>
      <c r="CW23" s="1648" t="str">
        <f>+CV23</f>
        <v>b1251.1 - Rebuild Raphael-Bagley 230 kV 2016</v>
      </c>
      <c r="CX23" s="1649" t="str">
        <f>+CW23</f>
        <v>b1251.1 - Rebuild Raphael-Bagley 230 kV 2016</v>
      </c>
      <c r="CY23" s="1647" t="s">
        <v>993</v>
      </c>
      <c r="CZ23" s="1648" t="str">
        <f>+CY23</f>
        <v>b0497 - Second Conastone-Graceton 230kV Circuit 2017</v>
      </c>
      <c r="DA23" s="1648" t="str">
        <f>+CZ23</f>
        <v>b0497 - Second Conastone-Graceton 230kV Circuit 2017</v>
      </c>
      <c r="DB23" s="1649" t="str">
        <f>+DA23</f>
        <v>b0497 - Second Conastone-Graceton 230kV Circuit 2017</v>
      </c>
      <c r="DC23" s="1647" t="s">
        <v>990</v>
      </c>
      <c r="DD23" s="1648" t="str">
        <f>+DC23</f>
        <v>b1016 - Rebuild Graceton-Bagley 230kV 2017</v>
      </c>
      <c r="DE23" s="1648" t="str">
        <f>+DD23</f>
        <v>b1016 - Rebuild Graceton-Bagley 230kV 2017</v>
      </c>
      <c r="DF23" s="1649" t="str">
        <f>+DE23</f>
        <v>b1016 - Rebuild Graceton-Bagley 230kV 2017</v>
      </c>
      <c r="DG23" s="1647" t="s">
        <v>1574</v>
      </c>
      <c r="DH23" s="1648" t="str">
        <f>+DG23</f>
        <v>b1251.1 - Rebuild Raphael-Bagley 230 kV 2017</v>
      </c>
      <c r="DI23" s="1648" t="str">
        <f>+DH23</f>
        <v>b1251.1 - Rebuild Raphael-Bagley 230 kV 2017</v>
      </c>
      <c r="DJ23" s="1649" t="str">
        <f>+DI23</f>
        <v>b1251.1 - Rebuild Raphael-Bagley 230 kV 2017</v>
      </c>
      <c r="DK23" s="1647" t="s">
        <v>1575</v>
      </c>
      <c r="DL23" s="1648" t="str">
        <f>+DK23</f>
        <v>b1251 - Second Raphael-Bagley 230kv Circuit 2017</v>
      </c>
      <c r="DM23" s="1648" t="str">
        <f>+DL23</f>
        <v>b1251 - Second Raphael-Bagley 230kv Circuit 2017</v>
      </c>
      <c r="DN23" s="1649" t="str">
        <f>+DM23</f>
        <v>b1251 - Second Raphael-Bagley 230kv Circuit 2017</v>
      </c>
      <c r="DO23" s="1647" t="s">
        <v>992</v>
      </c>
      <c r="DP23" s="1648" t="str">
        <f>+DO23</f>
        <v>b0497 - Second Conastone-Graceton 230kV Circuit 2018</v>
      </c>
      <c r="DQ23" s="1648" t="str">
        <f>+DP23</f>
        <v>b0497 - Second Conastone-Graceton 230kV Circuit 2018</v>
      </c>
      <c r="DR23" s="1649" t="str">
        <f>+DQ23</f>
        <v>b0497 - Second Conastone-Graceton 230kV Circuit 2018</v>
      </c>
      <c r="DS23" s="1647" t="s">
        <v>989</v>
      </c>
      <c r="DT23" s="1648" t="str">
        <f>+DS23</f>
        <v>b1016 - Rebuild Graceton-Bagley 230kV 2018</v>
      </c>
      <c r="DU23" s="1648" t="str">
        <f>+DT23</f>
        <v>b1016 - Rebuild Graceton-Bagley 230kV 2018</v>
      </c>
      <c r="DV23" s="1649" t="str">
        <f>+DU23</f>
        <v>b1016 - Rebuild Graceton-Bagley 230kV 2018</v>
      </c>
      <c r="DW23" s="1647" t="s">
        <v>987</v>
      </c>
      <c r="DX23" s="1648" t="str">
        <f>+DW23</f>
        <v>b1251 - Second Raphael-Bagley 230kv Circuit 2018</v>
      </c>
      <c r="DY23" s="1648" t="str">
        <f>+DX23</f>
        <v>b1251 - Second Raphael-Bagley 230kv Circuit 2018</v>
      </c>
      <c r="DZ23" s="1649" t="str">
        <f>+DY23</f>
        <v>b1251 - Second Raphael-Bagley 230kv Circuit 2018</v>
      </c>
      <c r="EA23" s="1647" t="s">
        <v>988</v>
      </c>
      <c r="EB23" s="1648" t="str">
        <f>+EA23</f>
        <v>b1251.1 - Rebuild Raphael-Bagley 230 kV 2018</v>
      </c>
      <c r="EC23" s="1648" t="str">
        <f>+EB23</f>
        <v>b1251.1 - Rebuild Raphael-Bagley 230 kV 2018</v>
      </c>
      <c r="ED23" s="1649" t="str">
        <f>+EC23</f>
        <v>b1251.1 - Rebuild Raphael-Bagley 230 kV 2018</v>
      </c>
      <c r="EE23" s="1647" t="s">
        <v>1571</v>
      </c>
      <c r="EF23" s="1648" t="str">
        <f>+EE23</f>
        <v>b2766.1 - Rebuild Conastone 500 kV Substation Equip 2020</v>
      </c>
      <c r="EG23" s="1648" t="str">
        <f>+EF23</f>
        <v>b2766.1 - Rebuild Conastone 500 kV Substation Equip 2020</v>
      </c>
      <c r="EH23" s="1649" t="str">
        <f>+EG23</f>
        <v>b2766.1 - Rebuild Conastone 500 kV Substation Equip 2020</v>
      </c>
      <c r="EI23" s="1647" t="s">
        <v>1572</v>
      </c>
      <c r="EJ23" s="1648" t="str">
        <f>+EI23</f>
        <v>b2992.3 - Rebuild Windy Edge-Glenarm 115 kV Circuit 2020</v>
      </c>
      <c r="EK23" s="1648" t="str">
        <f>+EJ23</f>
        <v>b2992.3 - Rebuild Windy Edge-Glenarm 115 kV Circuit 2020</v>
      </c>
      <c r="EL23" s="1649" t="str">
        <f>+EK23</f>
        <v>b2992.3 - Rebuild Windy Edge-Glenarm 115 kV Circuit 2020</v>
      </c>
      <c r="EM23" s="1647" t="s">
        <v>1573</v>
      </c>
      <c r="EN23" s="1648" t="str">
        <f>+EM23</f>
        <v>b2992.4 - Rebuild Raphael-Northeast 230 kV Circuit 2020</v>
      </c>
      <c r="EO23" s="1648" t="str">
        <f>+EN23</f>
        <v>b2992.4 - Rebuild Raphael-Northeast 230 kV Circuit 2020</v>
      </c>
      <c r="EP23" s="1649" t="str">
        <f>+EO23</f>
        <v>b2992.4 - Rebuild Raphael-Northeast 230 kV Circuit 2020</v>
      </c>
      <c r="EQ23" s="1647" t="s">
        <v>1578</v>
      </c>
      <c r="ER23" s="1648" t="str">
        <f>+EQ23</f>
        <v>b2992.1 - Reconduct Conastone-Graceton 230 kV Circuit 2021</v>
      </c>
      <c r="ES23" s="1648" t="str">
        <f>+ER23</f>
        <v>b2992.1 - Reconduct Conastone-Graceton 230 kV Circuit 2021</v>
      </c>
      <c r="ET23" s="1649" t="str">
        <f>+ES23</f>
        <v>b2992.1 - Reconduct Conastone-Graceton 230 kV Circuit 2021</v>
      </c>
      <c r="EU23" s="1647" t="s">
        <v>1577</v>
      </c>
      <c r="EV23" s="1648" t="str">
        <f>+EU23</f>
        <v>b2992.2 - Add Bundle Conductor Graceton-Bagley-Raphael 230 kV Circuit 2021</v>
      </c>
      <c r="EW23" s="1648" t="str">
        <f>+EV23</f>
        <v>b2992.2 - Add Bundle Conductor Graceton-Bagley-Raphael 230 kV Circuit 2021</v>
      </c>
      <c r="EX23" s="1649" t="str">
        <f>+EW23</f>
        <v>b2992.2 - Add Bundle Conductor Graceton-Bagley-Raphael 230 kV Circuit 2021</v>
      </c>
      <c r="EY23" s="546"/>
      <c r="FD23" s="1652" t="s">
        <v>749</v>
      </c>
      <c r="FE23" s="1655"/>
      <c r="FF23" s="1655"/>
      <c r="FG23" s="1656"/>
      <c r="FH23" s="1652" t="s">
        <v>749</v>
      </c>
      <c r="FI23" s="1655"/>
      <c r="FJ23" s="1655"/>
      <c r="FK23" s="1656"/>
      <c r="FL23" s="1652" t="s">
        <v>749</v>
      </c>
      <c r="FM23" s="1655"/>
      <c r="FN23" s="1655"/>
      <c r="FO23" s="1656"/>
      <c r="FP23" s="1652" t="s">
        <v>749</v>
      </c>
      <c r="FQ23" s="1655"/>
      <c r="FR23" s="1655"/>
      <c r="FS23" s="1656"/>
      <c r="FT23" s="1652" t="s">
        <v>752</v>
      </c>
      <c r="FU23" s="1655"/>
      <c r="FV23" s="1655"/>
      <c r="FW23" s="1656"/>
      <c r="FX23" s="1652" t="s">
        <v>752</v>
      </c>
      <c r="FY23" s="1655"/>
      <c r="FZ23" s="1655"/>
      <c r="GA23" s="1656"/>
      <c r="GB23" s="1652" t="s">
        <v>752</v>
      </c>
      <c r="GC23" s="1655"/>
      <c r="GD23" s="1655"/>
      <c r="GE23" s="1656"/>
      <c r="GF23" s="1652" t="s">
        <v>752</v>
      </c>
      <c r="GG23" s="1655"/>
      <c r="GH23" s="1655"/>
      <c r="GI23" s="1656"/>
      <c r="GJ23" s="1652" t="s">
        <v>752</v>
      </c>
      <c r="GK23" s="1655"/>
      <c r="GL23" s="1655"/>
      <c r="GM23" s="1656"/>
      <c r="GN23" s="1652" t="s">
        <v>752</v>
      </c>
      <c r="GO23" s="1655"/>
      <c r="GP23" s="1655"/>
      <c r="GQ23" s="1656"/>
      <c r="GR23" s="1652" t="s">
        <v>771</v>
      </c>
      <c r="GS23" s="1655"/>
      <c r="GT23" s="1655"/>
      <c r="GU23" s="1656"/>
      <c r="GV23" s="1652" t="s">
        <v>776</v>
      </c>
      <c r="GW23" s="1655"/>
      <c r="GX23" s="1655"/>
      <c r="GY23" s="1656"/>
      <c r="GZ23" s="1652" t="s">
        <v>781</v>
      </c>
      <c r="HA23" s="1655"/>
      <c r="HB23" s="1655"/>
      <c r="HC23" s="1656"/>
      <c r="HD23" s="1647" t="s">
        <v>985</v>
      </c>
      <c r="HE23" s="1650"/>
      <c r="HF23" s="1650"/>
      <c r="HG23" s="1651"/>
      <c r="HH23" s="1647" t="s">
        <v>985</v>
      </c>
      <c r="HI23" s="1650"/>
      <c r="HJ23" s="1650"/>
      <c r="HK23" s="1651"/>
      <c r="HL23" s="1647" t="s">
        <v>1499</v>
      </c>
      <c r="HM23" s="1650"/>
      <c r="HN23" s="1650"/>
      <c r="HO23" s="1651"/>
      <c r="HP23" s="1647" t="s">
        <v>1543</v>
      </c>
      <c r="HQ23" s="1650"/>
      <c r="HR23" s="1650"/>
      <c r="HS23" s="1651"/>
      <c r="HT23" s="1647" t="s">
        <v>1585</v>
      </c>
      <c r="HU23" s="1650"/>
      <c r="HV23" s="1650"/>
      <c r="HW23" s="1651"/>
      <c r="HY23" s="1652" t="s">
        <v>649</v>
      </c>
      <c r="HZ23" s="1653"/>
      <c r="IA23" s="1653"/>
      <c r="IB23" s="1654"/>
      <c r="IC23" s="1652" t="s">
        <v>757</v>
      </c>
      <c r="ID23" s="1653"/>
      <c r="IE23" s="1653"/>
      <c r="IF23" s="1654"/>
      <c r="IG23" s="1652" t="s">
        <v>778</v>
      </c>
      <c r="IH23" s="1653"/>
      <c r="II23" s="1653"/>
      <c r="IJ23" s="1654"/>
    </row>
    <row r="24" spans="1:244" ht="13">
      <c r="A24" s="502" t="s">
        <v>216</v>
      </c>
      <c r="B24" s="547" t="s">
        <v>573</v>
      </c>
      <c r="C24" s="548" t="s">
        <v>393</v>
      </c>
      <c r="D24" s="547"/>
      <c r="E24" s="547"/>
      <c r="F24" s="549"/>
      <c r="G24" s="548" t="s">
        <v>393</v>
      </c>
      <c r="H24" s="547"/>
      <c r="I24" s="547"/>
      <c r="J24" s="549"/>
      <c r="K24" s="548" t="s">
        <v>392</v>
      </c>
      <c r="L24" s="547"/>
      <c r="M24" s="547"/>
      <c r="N24" s="549"/>
      <c r="O24" s="548" t="s">
        <v>392</v>
      </c>
      <c r="P24" s="547"/>
      <c r="Q24" s="547"/>
      <c r="R24" s="549"/>
      <c r="S24" s="1442" t="s">
        <v>392</v>
      </c>
      <c r="T24" s="625"/>
      <c r="U24" s="625"/>
      <c r="V24" s="626"/>
      <c r="W24" s="1442" t="s">
        <v>393</v>
      </c>
      <c r="X24" s="625"/>
      <c r="Y24" s="625"/>
      <c r="Z24" s="626"/>
      <c r="AA24" s="1442" t="s">
        <v>393</v>
      </c>
      <c r="AB24" s="625"/>
      <c r="AC24" s="625"/>
      <c r="AD24" s="626"/>
      <c r="AE24" s="1442" t="s">
        <v>392</v>
      </c>
      <c r="AF24" s="625"/>
      <c r="AG24" s="625"/>
      <c r="AH24" s="626"/>
      <c r="AI24" s="1442" t="s">
        <v>393</v>
      </c>
      <c r="AJ24" s="625"/>
      <c r="AK24" s="625"/>
      <c r="AL24" s="626"/>
      <c r="AM24" s="1442" t="s">
        <v>393</v>
      </c>
      <c r="AN24" s="625"/>
      <c r="AO24" s="625"/>
      <c r="AP24" s="626"/>
      <c r="AQ24" s="1442" t="s">
        <v>392</v>
      </c>
      <c r="AR24" s="625"/>
      <c r="AS24" s="625"/>
      <c r="AT24" s="626"/>
      <c r="AU24" s="550"/>
      <c r="AV24" s="551"/>
      <c r="AW24" s="551"/>
      <c r="AX24" s="552"/>
      <c r="AY24" s="550"/>
      <c r="AZ24" s="551"/>
      <c r="BA24" s="551"/>
      <c r="BB24" s="552"/>
      <c r="BC24" s="550"/>
      <c r="BD24" s="551"/>
      <c r="BE24" s="551"/>
      <c r="BF24" s="552"/>
      <c r="BG24" s="550"/>
      <c r="BH24" s="551"/>
      <c r="BI24" s="551"/>
      <c r="BJ24" s="552"/>
      <c r="BK24" s="550"/>
      <c r="BL24" s="551"/>
      <c r="BM24" s="551"/>
      <c r="BN24" s="552"/>
      <c r="BO24" s="550"/>
      <c r="BP24" s="551"/>
      <c r="BQ24" s="551"/>
      <c r="BR24" s="552"/>
      <c r="BS24" s="1442" t="s">
        <v>392</v>
      </c>
      <c r="BT24" s="625"/>
      <c r="BU24" s="625"/>
      <c r="BV24" s="626"/>
      <c r="BW24" s="1442" t="s">
        <v>393</v>
      </c>
      <c r="BX24" s="625"/>
      <c r="BY24" s="625"/>
      <c r="BZ24" s="626"/>
      <c r="CA24" s="1442" t="s">
        <v>393</v>
      </c>
      <c r="CB24" s="625"/>
      <c r="CC24" s="625"/>
      <c r="CD24" s="626"/>
      <c r="CE24" s="1442" t="s">
        <v>392</v>
      </c>
      <c r="CF24" s="625"/>
      <c r="CG24" s="625"/>
      <c r="CH24" s="626"/>
      <c r="CI24" s="1442" t="s">
        <v>393</v>
      </c>
      <c r="CJ24" s="625"/>
      <c r="CK24" s="625"/>
      <c r="CL24" s="626"/>
      <c r="CM24" s="1442" t="s">
        <v>393</v>
      </c>
      <c r="CN24" s="774"/>
      <c r="CO24" s="774"/>
      <c r="CP24" s="777"/>
      <c r="CQ24" s="1442" t="s">
        <v>393</v>
      </c>
      <c r="CR24" s="774"/>
      <c r="CS24" s="774"/>
      <c r="CT24" s="777"/>
      <c r="CU24" s="776" t="s">
        <v>393</v>
      </c>
      <c r="CV24" s="774"/>
      <c r="CW24" s="774"/>
      <c r="CX24" s="777"/>
      <c r="CY24" s="788" t="s">
        <v>393</v>
      </c>
      <c r="CZ24" s="787"/>
      <c r="DA24" s="787"/>
      <c r="DB24" s="789"/>
      <c r="DC24" s="788" t="s">
        <v>393</v>
      </c>
      <c r="DD24" s="787"/>
      <c r="DE24" s="787"/>
      <c r="DF24" s="789"/>
      <c r="DG24" s="788" t="s">
        <v>393</v>
      </c>
      <c r="DH24" s="787"/>
      <c r="DI24" s="787"/>
      <c r="DJ24" s="789"/>
      <c r="DK24" s="1442" t="s">
        <v>393</v>
      </c>
      <c r="DL24" s="787"/>
      <c r="DM24" s="787"/>
      <c r="DN24" s="789"/>
      <c r="DO24" s="1442" t="s">
        <v>392</v>
      </c>
      <c r="DP24" s="808"/>
      <c r="DQ24" s="808"/>
      <c r="DR24" s="809"/>
      <c r="DS24" s="1442" t="s">
        <v>392</v>
      </c>
      <c r="DT24" s="808"/>
      <c r="DU24" s="808"/>
      <c r="DV24" s="809"/>
      <c r="DW24" s="1442" t="s">
        <v>392</v>
      </c>
      <c r="DX24" s="808"/>
      <c r="DY24" s="808"/>
      <c r="DZ24" s="809"/>
      <c r="EA24" s="1442" t="s">
        <v>392</v>
      </c>
      <c r="EB24" s="808"/>
      <c r="EC24" s="808"/>
      <c r="ED24" s="809"/>
      <c r="EE24" s="1442" t="s">
        <v>392</v>
      </c>
      <c r="EF24" s="1436"/>
      <c r="EG24" s="1436"/>
      <c r="EH24" s="1438"/>
      <c r="EI24" s="1442" t="s">
        <v>392</v>
      </c>
      <c r="EJ24" s="1436"/>
      <c r="EK24" s="1436"/>
      <c r="EL24" s="1438"/>
      <c r="EM24" s="1442" t="s">
        <v>392</v>
      </c>
      <c r="EN24" s="1436"/>
      <c r="EO24" s="1436"/>
      <c r="EP24" s="1438"/>
      <c r="EQ24" s="1442" t="s">
        <v>392</v>
      </c>
      <c r="ER24" s="1476"/>
      <c r="ES24" s="1476"/>
      <c r="ET24" s="1478"/>
      <c r="EU24" s="1442" t="s">
        <v>392</v>
      </c>
      <c r="EV24" s="1476"/>
      <c r="EW24" s="1476"/>
      <c r="EX24" s="1478"/>
      <c r="EY24" s="553"/>
      <c r="FD24" s="624" t="s">
        <v>392</v>
      </c>
      <c r="FE24" s="625"/>
      <c r="FF24" s="625"/>
      <c r="FG24" s="626"/>
      <c r="FH24" s="624" t="s">
        <v>392</v>
      </c>
      <c r="FI24" s="625"/>
      <c r="FJ24" s="625"/>
      <c r="FK24" s="626"/>
      <c r="FL24" s="624" t="s">
        <v>392</v>
      </c>
      <c r="FM24" s="625"/>
      <c r="FN24" s="625"/>
      <c r="FO24" s="626"/>
      <c r="FP24" s="624" t="s">
        <v>392</v>
      </c>
      <c r="FQ24" s="625"/>
      <c r="FR24" s="625"/>
      <c r="FS24" s="626"/>
      <c r="FT24" s="624" t="s">
        <v>392</v>
      </c>
      <c r="FU24" s="625"/>
      <c r="FV24" s="625"/>
      <c r="FW24" s="626"/>
      <c r="FX24" s="624" t="s">
        <v>392</v>
      </c>
      <c r="FY24" s="625"/>
      <c r="FZ24" s="625"/>
      <c r="GA24" s="626"/>
      <c r="GB24" s="756" t="s">
        <v>392</v>
      </c>
      <c r="GC24" s="754"/>
      <c r="GD24" s="754"/>
      <c r="GE24" s="757"/>
      <c r="GF24" s="756" t="s">
        <v>392</v>
      </c>
      <c r="GG24" s="754"/>
      <c r="GH24" s="754"/>
      <c r="GI24" s="757"/>
      <c r="GJ24" s="756" t="s">
        <v>392</v>
      </c>
      <c r="GK24" s="754"/>
      <c r="GL24" s="754"/>
      <c r="GM24" s="757"/>
      <c r="GN24" s="756" t="s">
        <v>392</v>
      </c>
      <c r="GO24" s="754"/>
      <c r="GP24" s="754"/>
      <c r="GQ24" s="757"/>
      <c r="GR24" s="771" t="s">
        <v>392</v>
      </c>
      <c r="GS24" s="769"/>
      <c r="GT24" s="769"/>
      <c r="GU24" s="768"/>
      <c r="GV24" s="785" t="s">
        <v>392</v>
      </c>
      <c r="GW24" s="783"/>
      <c r="GX24" s="783"/>
      <c r="GY24" s="786"/>
      <c r="GZ24" s="804" t="s">
        <v>392</v>
      </c>
      <c r="HA24" s="802"/>
      <c r="HB24" s="802"/>
      <c r="HC24" s="805"/>
      <c r="HD24" s="556" t="s">
        <v>392</v>
      </c>
      <c r="HE24" s="902"/>
      <c r="HF24" s="902"/>
      <c r="HG24" s="549"/>
      <c r="HH24" s="556" t="s">
        <v>392</v>
      </c>
      <c r="HI24" s="902"/>
      <c r="HJ24" s="902"/>
      <c r="HK24" s="549"/>
      <c r="HL24" s="556" t="s">
        <v>392</v>
      </c>
      <c r="HM24" s="1441"/>
      <c r="HN24" s="1441"/>
      <c r="HO24" s="549"/>
      <c r="HP24" s="556" t="s">
        <v>392</v>
      </c>
      <c r="HQ24" s="1466"/>
      <c r="HR24" s="1466"/>
      <c r="HS24" s="549"/>
      <c r="HT24" s="556" t="s">
        <v>392</v>
      </c>
      <c r="HU24" s="1486"/>
      <c r="HV24" s="1486"/>
      <c r="HW24" s="549"/>
      <c r="HY24" s="1657"/>
      <c r="HZ24" s="1643"/>
      <c r="IA24" s="1643"/>
      <c r="IB24" s="1658"/>
      <c r="IC24" s="1657"/>
      <c r="ID24" s="1643"/>
      <c r="IE24" s="1643"/>
      <c r="IF24" s="1658"/>
      <c r="IG24" s="1657"/>
      <c r="IH24" s="1643"/>
      <c r="II24" s="1643"/>
      <c r="IJ24" s="1658"/>
    </row>
    <row r="25" spans="1:244">
      <c r="A25" s="554" t="s">
        <v>387</v>
      </c>
      <c r="B25" s="547"/>
      <c r="C25" s="548">
        <v>44</v>
      </c>
      <c r="D25" s="547"/>
      <c r="E25" s="547"/>
      <c r="F25" s="555"/>
      <c r="G25" s="548">
        <v>44</v>
      </c>
      <c r="H25" s="547"/>
      <c r="I25" s="547"/>
      <c r="J25" s="555"/>
      <c r="K25" s="548">
        <v>44</v>
      </c>
      <c r="L25" s="547"/>
      <c r="M25" s="547"/>
      <c r="N25" s="555"/>
      <c r="O25" s="548">
        <v>44</v>
      </c>
      <c r="P25" s="547"/>
      <c r="Q25" s="547"/>
      <c r="R25" s="555"/>
      <c r="S25" s="1442">
        <v>44</v>
      </c>
      <c r="T25" s="625"/>
      <c r="U25" s="625"/>
      <c r="V25" s="505"/>
      <c r="W25" s="1442">
        <v>44</v>
      </c>
      <c r="X25" s="625"/>
      <c r="Y25" s="625"/>
      <c r="Z25" s="505"/>
      <c r="AA25" s="1442">
        <v>44</v>
      </c>
      <c r="AB25" s="625"/>
      <c r="AC25" s="625"/>
      <c r="AD25" s="505"/>
      <c r="AE25" s="1442">
        <v>44</v>
      </c>
      <c r="AF25" s="625"/>
      <c r="AG25" s="625"/>
      <c r="AH25" s="505"/>
      <c r="AI25" s="1442">
        <v>44</v>
      </c>
      <c r="AJ25" s="625"/>
      <c r="AK25" s="625"/>
      <c r="AL25" s="505"/>
      <c r="AM25" s="1442">
        <v>44</v>
      </c>
      <c r="AN25" s="625"/>
      <c r="AO25" s="625"/>
      <c r="AP25" s="505"/>
      <c r="AQ25" s="1442">
        <v>44</v>
      </c>
      <c r="AR25" s="625"/>
      <c r="AS25" s="625"/>
      <c r="AT25" s="505"/>
      <c r="AU25" s="556">
        <v>40</v>
      </c>
      <c r="AV25" s="547"/>
      <c r="AW25" s="547"/>
      <c r="AX25" s="549"/>
      <c r="AY25" s="556">
        <v>40</v>
      </c>
      <c r="AZ25" s="547"/>
      <c r="BA25" s="547"/>
      <c r="BB25" s="549"/>
      <c r="BC25" s="556">
        <v>40</v>
      </c>
      <c r="BD25" s="547"/>
      <c r="BE25" s="547"/>
      <c r="BF25" s="549"/>
      <c r="BG25" s="556">
        <v>35</v>
      </c>
      <c r="BH25" s="547"/>
      <c r="BI25" s="547"/>
      <c r="BJ25" s="549"/>
      <c r="BK25" s="556">
        <v>25</v>
      </c>
      <c r="BL25" s="547"/>
      <c r="BM25" s="547"/>
      <c r="BN25" s="549"/>
      <c r="BO25" s="556">
        <v>30</v>
      </c>
      <c r="BP25" s="547"/>
      <c r="BQ25" s="547"/>
      <c r="BR25" s="549"/>
      <c r="BS25" s="1442">
        <v>44</v>
      </c>
      <c r="BT25" s="625"/>
      <c r="BU25" s="625"/>
      <c r="BV25" s="505"/>
      <c r="BW25" s="1442">
        <v>44</v>
      </c>
      <c r="BX25" s="625"/>
      <c r="BY25" s="625"/>
      <c r="BZ25" s="505"/>
      <c r="CA25" s="1442">
        <v>44</v>
      </c>
      <c r="CB25" s="625"/>
      <c r="CC25" s="625"/>
      <c r="CD25" s="505"/>
      <c r="CE25" s="1442">
        <v>44</v>
      </c>
      <c r="CF25" s="625"/>
      <c r="CG25" s="625"/>
      <c r="CH25" s="505"/>
      <c r="CI25" s="1442">
        <v>44</v>
      </c>
      <c r="CJ25" s="625"/>
      <c r="CK25" s="625"/>
      <c r="CL25" s="505"/>
      <c r="CM25" s="1442">
        <v>44</v>
      </c>
      <c r="CN25" s="774"/>
      <c r="CO25" s="774"/>
      <c r="CP25" s="505"/>
      <c r="CQ25" s="1442">
        <v>44</v>
      </c>
      <c r="CR25" s="774"/>
      <c r="CS25" s="774"/>
      <c r="CT25" s="505"/>
      <c r="CU25" s="776">
        <v>44</v>
      </c>
      <c r="CV25" s="774"/>
      <c r="CW25" s="774"/>
      <c r="CX25" s="505"/>
      <c r="CY25" s="788">
        <v>44</v>
      </c>
      <c r="CZ25" s="787"/>
      <c r="DA25" s="787"/>
      <c r="DB25" s="505"/>
      <c r="DC25" s="788">
        <v>44</v>
      </c>
      <c r="DD25" s="787"/>
      <c r="DE25" s="787"/>
      <c r="DF25" s="505"/>
      <c r="DG25" s="788">
        <v>44</v>
      </c>
      <c r="DH25" s="787"/>
      <c r="DI25" s="787"/>
      <c r="DJ25" s="505"/>
      <c r="DK25" s="1442">
        <v>44</v>
      </c>
      <c r="DL25" s="787"/>
      <c r="DM25" s="787"/>
      <c r="DN25" s="505"/>
      <c r="DO25" s="1442">
        <v>44</v>
      </c>
      <c r="DP25" s="808"/>
      <c r="DQ25" s="808"/>
      <c r="DR25" s="505"/>
      <c r="DS25" s="1442">
        <v>44</v>
      </c>
      <c r="DT25" s="808"/>
      <c r="DU25" s="808"/>
      <c r="DV25" s="505"/>
      <c r="DW25" s="1442">
        <v>44</v>
      </c>
      <c r="DX25" s="808"/>
      <c r="DY25" s="808"/>
      <c r="DZ25" s="505"/>
      <c r="EA25" s="1442">
        <v>44</v>
      </c>
      <c r="EB25" s="808"/>
      <c r="EC25" s="808"/>
      <c r="ED25" s="505"/>
      <c r="EE25" s="1442">
        <v>44</v>
      </c>
      <c r="EF25" s="1436"/>
      <c r="EG25" s="1436"/>
      <c r="EH25" s="505"/>
      <c r="EI25" s="1442">
        <v>44</v>
      </c>
      <c r="EJ25" s="1436"/>
      <c r="EK25" s="1436"/>
      <c r="EL25" s="505"/>
      <c r="EM25" s="1442">
        <v>44</v>
      </c>
      <c r="EN25" s="1436"/>
      <c r="EO25" s="1436"/>
      <c r="EP25" s="505"/>
      <c r="EQ25" s="1442">
        <v>44</v>
      </c>
      <c r="ER25" s="1476"/>
      <c r="ES25" s="1476"/>
      <c r="ET25" s="505"/>
      <c r="EU25" s="1442">
        <v>44</v>
      </c>
      <c r="EV25" s="1476"/>
      <c r="EW25" s="1476"/>
      <c r="EX25" s="505"/>
      <c r="EY25" s="553"/>
      <c r="FD25" s="624">
        <v>10</v>
      </c>
      <c r="FE25" s="625"/>
      <c r="FF25" s="625"/>
      <c r="FG25" s="505"/>
      <c r="FH25" s="624">
        <v>10</v>
      </c>
      <c r="FI25" s="625"/>
      <c r="FJ25" s="625"/>
      <c r="FK25" s="505"/>
      <c r="FL25" s="624">
        <v>10</v>
      </c>
      <c r="FM25" s="625"/>
      <c r="FN25" s="625"/>
      <c r="FO25" s="505"/>
      <c r="FP25" s="624">
        <v>10</v>
      </c>
      <c r="FQ25" s="625"/>
      <c r="FR25" s="625"/>
      <c r="FS25" s="505"/>
      <c r="FT25" s="624">
        <v>10</v>
      </c>
      <c r="FU25" s="625"/>
      <c r="FV25" s="625"/>
      <c r="FW25" s="505"/>
      <c r="FX25" s="624">
        <v>10</v>
      </c>
      <c r="FY25" s="625"/>
      <c r="FZ25" s="625"/>
      <c r="GA25" s="505"/>
      <c r="GB25" s="756">
        <v>10</v>
      </c>
      <c r="GC25" s="754"/>
      <c r="GD25" s="754"/>
      <c r="GE25" s="505"/>
      <c r="GF25" s="756">
        <v>10</v>
      </c>
      <c r="GG25" s="754"/>
      <c r="GH25" s="754"/>
      <c r="GI25" s="505"/>
      <c r="GJ25" s="756">
        <v>10</v>
      </c>
      <c r="GK25" s="754"/>
      <c r="GL25" s="754"/>
      <c r="GM25" s="505"/>
      <c r="GN25" s="756">
        <v>10</v>
      </c>
      <c r="GO25" s="754"/>
      <c r="GP25" s="754"/>
      <c r="GQ25" s="505"/>
      <c r="GR25" s="771">
        <v>10</v>
      </c>
      <c r="GS25" s="769"/>
      <c r="GT25" s="769"/>
      <c r="GU25" s="505"/>
      <c r="GV25" s="785">
        <v>10</v>
      </c>
      <c r="GW25" s="783"/>
      <c r="GX25" s="783"/>
      <c r="GY25" s="505"/>
      <c r="GZ25" s="804">
        <v>10</v>
      </c>
      <c r="HA25" s="802"/>
      <c r="HB25" s="802"/>
      <c r="HC25" s="505"/>
      <c r="HD25" s="556">
        <v>10</v>
      </c>
      <c r="HE25" s="902"/>
      <c r="HF25" s="902"/>
      <c r="HG25" s="916"/>
      <c r="HH25" s="556">
        <v>10</v>
      </c>
      <c r="HI25" s="902"/>
      <c r="HJ25" s="902"/>
      <c r="HK25" s="916"/>
      <c r="HL25" s="556">
        <v>10</v>
      </c>
      <c r="HM25" s="1441"/>
      <c r="HN25" s="1441"/>
      <c r="HO25" s="916"/>
      <c r="HP25" s="556">
        <v>10</v>
      </c>
      <c r="HQ25" s="1466"/>
      <c r="HR25" s="1466"/>
      <c r="HS25" s="916"/>
      <c r="HT25" s="556">
        <v>10</v>
      </c>
      <c r="HU25" s="1486"/>
      <c r="HV25" s="1486"/>
      <c r="HW25" s="916"/>
      <c r="HY25" s="624"/>
      <c r="HZ25" s="625"/>
      <c r="IA25" s="625"/>
      <c r="IB25" s="505"/>
      <c r="IC25" s="624">
        <v>1</v>
      </c>
      <c r="ID25" s="625"/>
      <c r="IE25" s="625"/>
      <c r="IF25" s="505"/>
      <c r="IG25" s="785">
        <v>1</v>
      </c>
      <c r="IH25" s="783"/>
      <c r="II25" s="783"/>
      <c r="IJ25" s="505"/>
    </row>
    <row r="26" spans="1:244">
      <c r="A26" s="554" t="s">
        <v>388</v>
      </c>
      <c r="B26" s="547" t="s">
        <v>573</v>
      </c>
      <c r="C26" s="548" t="s">
        <v>392</v>
      </c>
      <c r="D26" s="547"/>
      <c r="E26" s="547"/>
      <c r="F26" s="555"/>
      <c r="G26" s="548" t="s">
        <v>392</v>
      </c>
      <c r="H26" s="547"/>
      <c r="I26" s="547"/>
      <c r="J26" s="555"/>
      <c r="K26" s="548" t="s">
        <v>392</v>
      </c>
      <c r="L26" s="547"/>
      <c r="M26" s="547"/>
      <c r="N26" s="555"/>
      <c r="O26" s="548" t="s">
        <v>392</v>
      </c>
      <c r="P26" s="547"/>
      <c r="Q26" s="547"/>
      <c r="R26" s="555"/>
      <c r="S26" s="1442" t="s">
        <v>392</v>
      </c>
      <c r="T26" s="625"/>
      <c r="U26" s="625"/>
      <c r="V26" s="505"/>
      <c r="W26" s="1442" t="s">
        <v>392</v>
      </c>
      <c r="X26" s="625"/>
      <c r="Y26" s="625"/>
      <c r="Z26" s="505"/>
      <c r="AA26" s="1442" t="s">
        <v>392</v>
      </c>
      <c r="AB26" s="625"/>
      <c r="AC26" s="625"/>
      <c r="AD26" s="505"/>
      <c r="AE26" s="1442" t="s">
        <v>392</v>
      </c>
      <c r="AF26" s="625"/>
      <c r="AG26" s="625"/>
      <c r="AH26" s="505"/>
      <c r="AI26" s="1442" t="s">
        <v>392</v>
      </c>
      <c r="AJ26" s="625"/>
      <c r="AK26" s="625"/>
      <c r="AL26" s="505"/>
      <c r="AM26" s="1442" t="s">
        <v>392</v>
      </c>
      <c r="AN26" s="625"/>
      <c r="AO26" s="625"/>
      <c r="AP26" s="505"/>
      <c r="AQ26" s="1442" t="s">
        <v>392</v>
      </c>
      <c r="AR26" s="625"/>
      <c r="AS26" s="625"/>
      <c r="AT26" s="505"/>
      <c r="AU26" s="556" t="s">
        <v>392</v>
      </c>
      <c r="AV26" s="547"/>
      <c r="AW26" s="547"/>
      <c r="AX26" s="549"/>
      <c r="AY26" s="556" t="s">
        <v>392</v>
      </c>
      <c r="AZ26" s="547"/>
      <c r="BA26" s="547"/>
      <c r="BB26" s="549"/>
      <c r="BC26" s="556" t="s">
        <v>392</v>
      </c>
      <c r="BD26" s="547"/>
      <c r="BE26" s="547"/>
      <c r="BF26" s="549"/>
      <c r="BG26" s="556" t="s">
        <v>393</v>
      </c>
      <c r="BH26" s="547"/>
      <c r="BI26" s="547"/>
      <c r="BJ26" s="549"/>
      <c r="BK26" s="556" t="s">
        <v>393</v>
      </c>
      <c r="BL26" s="547"/>
      <c r="BM26" s="547"/>
      <c r="BN26" s="549"/>
      <c r="BO26" s="556" t="s">
        <v>392</v>
      </c>
      <c r="BP26" s="547"/>
      <c r="BQ26" s="547"/>
      <c r="BR26" s="549"/>
      <c r="BS26" s="1442" t="s">
        <v>392</v>
      </c>
      <c r="BT26" s="625"/>
      <c r="BU26" s="625"/>
      <c r="BV26" s="505"/>
      <c r="BW26" s="1442" t="s">
        <v>392</v>
      </c>
      <c r="BX26" s="625"/>
      <c r="BY26" s="625"/>
      <c r="BZ26" s="505"/>
      <c r="CA26" s="1442" t="s">
        <v>392</v>
      </c>
      <c r="CB26" s="625"/>
      <c r="CC26" s="625"/>
      <c r="CD26" s="505"/>
      <c r="CE26" s="1442" t="s">
        <v>392</v>
      </c>
      <c r="CF26" s="625"/>
      <c r="CG26" s="625"/>
      <c r="CH26" s="505"/>
      <c r="CI26" s="1442" t="s">
        <v>392</v>
      </c>
      <c r="CJ26" s="625"/>
      <c r="CK26" s="625"/>
      <c r="CL26" s="505"/>
      <c r="CM26" s="1442" t="s">
        <v>392</v>
      </c>
      <c r="CN26" s="774"/>
      <c r="CO26" s="774"/>
      <c r="CP26" s="505"/>
      <c r="CQ26" s="1442" t="s">
        <v>392</v>
      </c>
      <c r="CR26" s="774"/>
      <c r="CS26" s="774"/>
      <c r="CT26" s="505"/>
      <c r="CU26" s="776" t="s">
        <v>392</v>
      </c>
      <c r="CV26" s="774"/>
      <c r="CW26" s="774"/>
      <c r="CX26" s="505"/>
      <c r="CY26" s="788" t="s">
        <v>392</v>
      </c>
      <c r="CZ26" s="787"/>
      <c r="DA26" s="787"/>
      <c r="DB26" s="505"/>
      <c r="DC26" s="788" t="s">
        <v>392</v>
      </c>
      <c r="DD26" s="787"/>
      <c r="DE26" s="787"/>
      <c r="DF26" s="505"/>
      <c r="DG26" s="788" t="s">
        <v>392</v>
      </c>
      <c r="DH26" s="787"/>
      <c r="DI26" s="787"/>
      <c r="DJ26" s="505"/>
      <c r="DK26" s="1442" t="s">
        <v>392</v>
      </c>
      <c r="DL26" s="787"/>
      <c r="DM26" s="787"/>
      <c r="DN26" s="505"/>
      <c r="DO26" s="1442" t="s">
        <v>392</v>
      </c>
      <c r="DP26" s="808"/>
      <c r="DQ26" s="808"/>
      <c r="DR26" s="505"/>
      <c r="DS26" s="1442" t="s">
        <v>392</v>
      </c>
      <c r="DT26" s="808"/>
      <c r="DU26" s="808"/>
      <c r="DV26" s="505"/>
      <c r="DW26" s="1442" t="s">
        <v>392</v>
      </c>
      <c r="DX26" s="808"/>
      <c r="DY26" s="808"/>
      <c r="DZ26" s="505"/>
      <c r="EA26" s="1442" t="s">
        <v>392</v>
      </c>
      <c r="EB26" s="808"/>
      <c r="EC26" s="808"/>
      <c r="ED26" s="505"/>
      <c r="EE26" s="1442" t="s">
        <v>392</v>
      </c>
      <c r="EF26" s="1436"/>
      <c r="EG26" s="1436"/>
      <c r="EH26" s="505"/>
      <c r="EI26" s="1442" t="s">
        <v>392</v>
      </c>
      <c r="EJ26" s="1436"/>
      <c r="EK26" s="1436"/>
      <c r="EL26" s="505"/>
      <c r="EM26" s="1442" t="s">
        <v>392</v>
      </c>
      <c r="EN26" s="1436"/>
      <c r="EO26" s="1436"/>
      <c r="EP26" s="505"/>
      <c r="EQ26" s="1442" t="s">
        <v>392</v>
      </c>
      <c r="ER26" s="1476"/>
      <c r="ES26" s="1476"/>
      <c r="ET26" s="505"/>
      <c r="EU26" s="1442" t="s">
        <v>392</v>
      </c>
      <c r="EV26" s="1476"/>
      <c r="EW26" s="1476"/>
      <c r="EX26" s="505"/>
      <c r="EY26" s="553"/>
      <c r="FD26" s="624" t="s">
        <v>392</v>
      </c>
      <c r="FE26" s="625"/>
      <c r="FF26" s="625"/>
      <c r="FG26" s="505"/>
      <c r="FH26" s="624" t="s">
        <v>392</v>
      </c>
      <c r="FI26" s="625"/>
      <c r="FJ26" s="625"/>
      <c r="FK26" s="505"/>
      <c r="FL26" s="624" t="s">
        <v>392</v>
      </c>
      <c r="FM26" s="625"/>
      <c r="FN26" s="625"/>
      <c r="FO26" s="505"/>
      <c r="FP26" s="624" t="s">
        <v>392</v>
      </c>
      <c r="FQ26" s="625"/>
      <c r="FR26" s="625"/>
      <c r="FS26" s="505"/>
      <c r="FT26" s="624" t="s">
        <v>392</v>
      </c>
      <c r="FU26" s="625"/>
      <c r="FV26" s="625"/>
      <c r="FW26" s="505"/>
      <c r="FX26" s="624" t="s">
        <v>392</v>
      </c>
      <c r="FY26" s="625"/>
      <c r="FZ26" s="625"/>
      <c r="GA26" s="505"/>
      <c r="GB26" s="756" t="s">
        <v>392</v>
      </c>
      <c r="GC26" s="754"/>
      <c r="GD26" s="754"/>
      <c r="GE26" s="505"/>
      <c r="GF26" s="756" t="s">
        <v>392</v>
      </c>
      <c r="GG26" s="754"/>
      <c r="GH26" s="754"/>
      <c r="GI26" s="505"/>
      <c r="GJ26" s="756" t="s">
        <v>392</v>
      </c>
      <c r="GK26" s="754"/>
      <c r="GL26" s="754"/>
      <c r="GM26" s="505"/>
      <c r="GN26" s="756" t="s">
        <v>392</v>
      </c>
      <c r="GO26" s="754"/>
      <c r="GP26" s="754"/>
      <c r="GQ26" s="505"/>
      <c r="GR26" s="771" t="s">
        <v>392</v>
      </c>
      <c r="GS26" s="769"/>
      <c r="GT26" s="769"/>
      <c r="GU26" s="505"/>
      <c r="GV26" s="785" t="s">
        <v>392</v>
      </c>
      <c r="GW26" s="783"/>
      <c r="GX26" s="783"/>
      <c r="GY26" s="505"/>
      <c r="GZ26" s="804" t="s">
        <v>392</v>
      </c>
      <c r="HA26" s="802"/>
      <c r="HB26" s="802"/>
      <c r="HC26" s="505"/>
      <c r="HD26" s="556" t="s">
        <v>392</v>
      </c>
      <c r="HE26" s="902"/>
      <c r="HF26" s="902"/>
      <c r="HG26" s="916"/>
      <c r="HH26" s="556" t="s">
        <v>392</v>
      </c>
      <c r="HI26" s="902"/>
      <c r="HJ26" s="902"/>
      <c r="HK26" s="916"/>
      <c r="HL26" s="556" t="s">
        <v>392</v>
      </c>
      <c r="HM26" s="1441"/>
      <c r="HN26" s="1441"/>
      <c r="HO26" s="916"/>
      <c r="HP26" s="556" t="s">
        <v>392</v>
      </c>
      <c r="HQ26" s="1466"/>
      <c r="HR26" s="1466"/>
      <c r="HS26" s="916"/>
      <c r="HT26" s="556" t="s">
        <v>392</v>
      </c>
      <c r="HU26" s="1486"/>
      <c r="HV26" s="1486"/>
      <c r="HW26" s="916"/>
      <c r="HY26" s="624" t="s">
        <v>392</v>
      </c>
      <c r="HZ26" s="625"/>
      <c r="IA26" s="625"/>
      <c r="IB26" s="505"/>
      <c r="IC26" s="624" t="s">
        <v>392</v>
      </c>
      <c r="ID26" s="625"/>
      <c r="IE26" s="625"/>
      <c r="IF26" s="505"/>
      <c r="IG26" s="785" t="s">
        <v>392</v>
      </c>
      <c r="IH26" s="783"/>
      <c r="II26" s="783"/>
      <c r="IJ26" s="505"/>
    </row>
    <row r="27" spans="1:244">
      <c r="A27" s="554" t="s">
        <v>63</v>
      </c>
      <c r="B27" s="547"/>
      <c r="C27" s="548">
        <v>100</v>
      </c>
      <c r="D27" s="547"/>
      <c r="E27" s="547"/>
      <c r="F27" s="555"/>
      <c r="G27" s="548">
        <v>100</v>
      </c>
      <c r="H27" s="547"/>
      <c r="I27" s="547"/>
      <c r="J27" s="555"/>
      <c r="K27" s="548">
        <v>100</v>
      </c>
      <c r="L27" s="547"/>
      <c r="M27" s="547"/>
      <c r="N27" s="555"/>
      <c r="O27" s="548">
        <v>100</v>
      </c>
      <c r="P27" s="547"/>
      <c r="Q27" s="547"/>
      <c r="R27" s="555"/>
      <c r="S27" s="1442">
        <v>100</v>
      </c>
      <c r="T27" s="625"/>
      <c r="U27" s="625"/>
      <c r="V27" s="505"/>
      <c r="W27" s="1442">
        <v>100</v>
      </c>
      <c r="X27" s="625"/>
      <c r="Y27" s="625"/>
      <c r="Z27" s="505"/>
      <c r="AA27" s="1442">
        <v>100</v>
      </c>
      <c r="AB27" s="625"/>
      <c r="AC27" s="625"/>
      <c r="AD27" s="505"/>
      <c r="AE27" s="1442">
        <v>100</v>
      </c>
      <c r="AF27" s="625"/>
      <c r="AG27" s="625"/>
      <c r="AH27" s="505"/>
      <c r="AI27" s="1442">
        <v>100</v>
      </c>
      <c r="AJ27" s="625"/>
      <c r="AK27" s="625"/>
      <c r="AL27" s="505"/>
      <c r="AM27" s="1442">
        <v>100</v>
      </c>
      <c r="AN27" s="625"/>
      <c r="AO27" s="625"/>
      <c r="AP27" s="505"/>
      <c r="AQ27" s="1442">
        <v>100</v>
      </c>
      <c r="AR27" s="625"/>
      <c r="AS27" s="625"/>
      <c r="AT27" s="505"/>
      <c r="AU27" s="556">
        <v>150</v>
      </c>
      <c r="AV27" s="547"/>
      <c r="AW27" s="547"/>
      <c r="AX27" s="549"/>
      <c r="AY27" s="556">
        <v>100</v>
      </c>
      <c r="AZ27" s="547"/>
      <c r="BA27" s="547"/>
      <c r="BB27" s="549"/>
      <c r="BC27" s="556">
        <v>50</v>
      </c>
      <c r="BD27" s="547"/>
      <c r="BE27" s="547"/>
      <c r="BF27" s="549"/>
      <c r="BG27" s="556">
        <v>100</v>
      </c>
      <c r="BH27" s="547"/>
      <c r="BI27" s="547"/>
      <c r="BJ27" s="549"/>
      <c r="BK27" s="556">
        <v>150</v>
      </c>
      <c r="BL27" s="547"/>
      <c r="BM27" s="547"/>
      <c r="BN27" s="549"/>
      <c r="BO27" s="556">
        <v>50</v>
      </c>
      <c r="BP27" s="547"/>
      <c r="BQ27" s="547"/>
      <c r="BR27" s="549"/>
      <c r="BS27" s="1442">
        <v>100</v>
      </c>
      <c r="BT27" s="625"/>
      <c r="BU27" s="625"/>
      <c r="BV27" s="505"/>
      <c r="BW27" s="1442">
        <v>0</v>
      </c>
      <c r="BX27" s="625"/>
      <c r="BY27" s="625"/>
      <c r="BZ27" s="505"/>
      <c r="CA27" s="1442">
        <v>100</v>
      </c>
      <c r="CB27" s="625"/>
      <c r="CC27" s="625"/>
      <c r="CD27" s="505"/>
      <c r="CE27" s="1442">
        <v>100</v>
      </c>
      <c r="CF27" s="625"/>
      <c r="CG27" s="625"/>
      <c r="CH27" s="505"/>
      <c r="CI27" s="1442">
        <v>0</v>
      </c>
      <c r="CJ27" s="625"/>
      <c r="CK27" s="625"/>
      <c r="CL27" s="505"/>
      <c r="CM27" s="1442">
        <v>0</v>
      </c>
      <c r="CN27" s="774"/>
      <c r="CO27" s="774"/>
      <c r="CP27" s="505"/>
      <c r="CQ27" s="1442">
        <v>0</v>
      </c>
      <c r="CR27" s="774"/>
      <c r="CS27" s="774"/>
      <c r="CT27" s="505"/>
      <c r="CU27" s="776">
        <v>0</v>
      </c>
      <c r="CV27" s="774"/>
      <c r="CW27" s="774"/>
      <c r="CX27" s="505"/>
      <c r="CY27" s="788">
        <v>0</v>
      </c>
      <c r="CZ27" s="787"/>
      <c r="DA27" s="787"/>
      <c r="DB27" s="505"/>
      <c r="DC27" s="788">
        <v>0</v>
      </c>
      <c r="DD27" s="787"/>
      <c r="DE27" s="787"/>
      <c r="DF27" s="505"/>
      <c r="DG27" s="788">
        <v>0</v>
      </c>
      <c r="DH27" s="787"/>
      <c r="DI27" s="787"/>
      <c r="DJ27" s="505"/>
      <c r="DK27" s="1442">
        <v>0</v>
      </c>
      <c r="DL27" s="792"/>
      <c r="DM27" s="787"/>
      <c r="DN27" s="505"/>
      <c r="DO27" s="1442"/>
      <c r="DP27" s="808"/>
      <c r="DQ27" s="808"/>
      <c r="DR27" s="505"/>
      <c r="DS27" s="1442"/>
      <c r="DT27" s="808"/>
      <c r="DU27" s="808"/>
      <c r="DV27" s="505"/>
      <c r="DW27" s="1442"/>
      <c r="DX27" s="808"/>
      <c r="DY27" s="808"/>
      <c r="DZ27" s="505"/>
      <c r="EA27" s="1442"/>
      <c r="EB27" s="808"/>
      <c r="EC27" s="808"/>
      <c r="ED27" s="505"/>
      <c r="EE27" s="1437"/>
      <c r="EF27" s="1436"/>
      <c r="EG27" s="1436"/>
      <c r="EH27" s="505"/>
      <c r="EI27" s="1437"/>
      <c r="EJ27" s="1436"/>
      <c r="EK27" s="1436"/>
      <c r="EL27" s="505"/>
      <c r="EM27" s="1437"/>
      <c r="EN27" s="1436"/>
      <c r="EO27" s="1436"/>
      <c r="EP27" s="505"/>
      <c r="EQ27" s="1477"/>
      <c r="ER27" s="1476"/>
      <c r="ES27" s="1476"/>
      <c r="ET27" s="505"/>
      <c r="EU27" s="1477"/>
      <c r="EV27" s="1476"/>
      <c r="EW27" s="1476"/>
      <c r="EX27" s="505"/>
      <c r="EY27" s="553"/>
      <c r="FD27" s="624"/>
      <c r="FE27" s="625"/>
      <c r="FF27" s="625"/>
      <c r="FG27" s="505"/>
      <c r="FH27" s="624"/>
      <c r="FI27" s="625"/>
      <c r="FJ27" s="625"/>
      <c r="FK27" s="505"/>
      <c r="FL27" s="624"/>
      <c r="FM27" s="625"/>
      <c r="FN27" s="625"/>
      <c r="FO27" s="505"/>
      <c r="FP27" s="624"/>
      <c r="FQ27" s="625"/>
      <c r="FR27" s="625"/>
      <c r="FS27" s="505"/>
      <c r="FT27" s="624"/>
      <c r="FU27" s="625"/>
      <c r="FV27" s="625"/>
      <c r="FW27" s="505"/>
      <c r="FX27" s="624"/>
      <c r="FY27" s="625"/>
      <c r="FZ27" s="625"/>
      <c r="GA27" s="505"/>
      <c r="GB27" s="756"/>
      <c r="GC27" s="754"/>
      <c r="GD27" s="754"/>
      <c r="GE27" s="505"/>
      <c r="GF27" s="756"/>
      <c r="GG27" s="754"/>
      <c r="GH27" s="754"/>
      <c r="GI27" s="505"/>
      <c r="GJ27" s="756"/>
      <c r="GK27" s="754"/>
      <c r="GL27" s="754"/>
      <c r="GM27" s="505"/>
      <c r="GN27" s="756"/>
      <c r="GO27" s="754"/>
      <c r="GP27" s="754"/>
      <c r="GQ27" s="505"/>
      <c r="GR27" s="771"/>
      <c r="GS27" s="769"/>
      <c r="GT27" s="769"/>
      <c r="GU27" s="505"/>
      <c r="GV27" s="785"/>
      <c r="GW27" s="783"/>
      <c r="GX27" s="783"/>
      <c r="GY27" s="505"/>
      <c r="GZ27" s="804"/>
      <c r="HA27" s="802"/>
      <c r="HB27" s="802"/>
      <c r="HC27" s="505"/>
      <c r="HD27" s="556"/>
      <c r="HE27" s="902"/>
      <c r="HF27" s="902"/>
      <c r="HG27" s="916"/>
      <c r="HH27" s="556"/>
      <c r="HI27" s="902"/>
      <c r="HJ27" s="902"/>
      <c r="HK27" s="916"/>
      <c r="HL27" s="556"/>
      <c r="HM27" s="1441"/>
      <c r="HN27" s="1441"/>
      <c r="HO27" s="916"/>
      <c r="HP27" s="556"/>
      <c r="HQ27" s="1466"/>
      <c r="HR27" s="1466"/>
      <c r="HS27" s="916"/>
      <c r="HT27" s="556"/>
      <c r="HU27" s="1486"/>
      <c r="HV27" s="1486"/>
      <c r="HW27" s="916"/>
      <c r="HY27" s="624"/>
      <c r="HZ27" s="625"/>
      <c r="IA27" s="625"/>
      <c r="IB27" s="505"/>
      <c r="IC27" s="624"/>
      <c r="ID27" s="625"/>
      <c r="IE27" s="625"/>
      <c r="IF27" s="505"/>
      <c r="IG27" s="785"/>
      <c r="IH27" s="783"/>
      <c r="II27" s="783"/>
      <c r="IJ27" s="505"/>
    </row>
    <row r="28" spans="1:244" ht="13">
      <c r="A28" s="554" t="s">
        <v>407</v>
      </c>
      <c r="B28" s="547"/>
      <c r="C28" s="601">
        <f>+L11</f>
        <v>0.112549269769912</v>
      </c>
      <c r="D28" s="557"/>
      <c r="E28" s="557"/>
      <c r="F28" s="558"/>
      <c r="G28" s="554">
        <f>+C28</f>
        <v>0.112549269769912</v>
      </c>
      <c r="H28" s="557"/>
      <c r="I28" s="557"/>
      <c r="J28" s="558"/>
      <c r="K28" s="554">
        <f>+G28</f>
        <v>0.112549269769912</v>
      </c>
      <c r="L28" s="557"/>
      <c r="M28" s="557"/>
      <c r="N28" s="558"/>
      <c r="O28" s="554">
        <f>+K28</f>
        <v>0.112549269769912</v>
      </c>
      <c r="P28" s="557"/>
      <c r="Q28" s="557"/>
      <c r="R28" s="558"/>
      <c r="S28" s="554">
        <f>+O28</f>
        <v>0.112549269769912</v>
      </c>
      <c r="T28" s="477"/>
      <c r="U28" s="477"/>
      <c r="V28" s="493"/>
      <c r="W28" s="502">
        <f>+S28</f>
        <v>0.112549269769912</v>
      </c>
      <c r="X28" s="477"/>
      <c r="Y28" s="477"/>
      <c r="Z28" s="493"/>
      <c r="AA28" s="502">
        <f>+W28</f>
        <v>0.112549269769912</v>
      </c>
      <c r="AB28" s="477"/>
      <c r="AC28" s="477"/>
      <c r="AD28" s="493"/>
      <c r="AE28" s="502">
        <f>+AA28</f>
        <v>0.112549269769912</v>
      </c>
      <c r="AF28" s="477"/>
      <c r="AG28" s="477"/>
      <c r="AH28" s="493"/>
      <c r="AI28" s="502">
        <f>+AE28</f>
        <v>0.112549269769912</v>
      </c>
      <c r="AJ28" s="477"/>
      <c r="AK28" s="477"/>
      <c r="AL28" s="493"/>
      <c r="AM28" s="502">
        <f>+AI28</f>
        <v>0.112549269769912</v>
      </c>
      <c r="AN28" s="477"/>
      <c r="AO28" s="477"/>
      <c r="AP28" s="493"/>
      <c r="AQ28" s="502">
        <f>+AM28</f>
        <v>0.112549269769912</v>
      </c>
      <c r="AR28" s="477"/>
      <c r="AS28" s="477"/>
      <c r="AT28" s="493"/>
      <c r="AU28" s="554">
        <f>+$I11</f>
        <v>0</v>
      </c>
      <c r="AV28" s="557"/>
      <c r="AW28" s="557"/>
      <c r="AX28" s="553"/>
      <c r="AY28" s="554">
        <f>+$I11</f>
        <v>0</v>
      </c>
      <c r="AZ28" s="557"/>
      <c r="BA28" s="557"/>
      <c r="BB28" s="553"/>
      <c r="BC28" s="554">
        <f>+$I11</f>
        <v>0</v>
      </c>
      <c r="BD28" s="557"/>
      <c r="BE28" s="557"/>
      <c r="BF28" s="553"/>
      <c r="BG28" s="556">
        <f>$I17</f>
        <v>0</v>
      </c>
      <c r="BH28" s="547"/>
      <c r="BI28" s="547"/>
      <c r="BJ28" s="549"/>
      <c r="BK28" s="556">
        <f>$I17</f>
        <v>0</v>
      </c>
      <c r="BL28" s="547"/>
      <c r="BM28" s="547"/>
      <c r="BN28" s="549"/>
      <c r="BO28" s="554">
        <f>+$I11</f>
        <v>0</v>
      </c>
      <c r="BP28" s="557"/>
      <c r="BQ28" s="557"/>
      <c r="BR28" s="553"/>
      <c r="BS28" s="502">
        <f>+AQ28</f>
        <v>0.112549269769912</v>
      </c>
      <c r="BT28" s="477"/>
      <c r="BU28" s="477"/>
      <c r="BV28" s="493"/>
      <c r="BW28" s="559">
        <f>+BS28</f>
        <v>0.112549269769912</v>
      </c>
      <c r="BX28" s="477"/>
      <c r="BY28" s="477"/>
      <c r="BZ28" s="493"/>
      <c r="CA28" s="559">
        <f>+BW28</f>
        <v>0.112549269769912</v>
      </c>
      <c r="CB28" s="477"/>
      <c r="CC28" s="477"/>
      <c r="CD28" s="493"/>
      <c r="CE28" s="559">
        <f>+CA28</f>
        <v>0.112549269769912</v>
      </c>
      <c r="CF28" s="477"/>
      <c r="CG28" s="477"/>
      <c r="CH28" s="493"/>
      <c r="CI28" s="559">
        <f>++CE28</f>
        <v>0.112549269769912</v>
      </c>
      <c r="CJ28" s="477"/>
      <c r="CK28" s="477"/>
      <c r="CL28" s="493"/>
      <c r="CM28" s="559">
        <f>++CI28</f>
        <v>0.112549269769912</v>
      </c>
      <c r="CN28" s="477"/>
      <c r="CO28" s="477"/>
      <c r="CP28" s="493"/>
      <c r="CQ28" s="559">
        <f>++CM28</f>
        <v>0.112549269769912</v>
      </c>
      <c r="CR28" s="477"/>
      <c r="CS28" s="477"/>
      <c r="CT28" s="493"/>
      <c r="CU28" s="559">
        <f>++CQ28</f>
        <v>0.112549269769912</v>
      </c>
      <c r="CV28" s="477"/>
      <c r="CW28" s="477"/>
      <c r="CX28" s="493"/>
      <c r="CY28" s="559">
        <f>++CU28</f>
        <v>0.112549269769912</v>
      </c>
      <c r="CZ28" s="477"/>
      <c r="DA28" s="477"/>
      <c r="DB28" s="493"/>
      <c r="DC28" s="559">
        <f>++CY28</f>
        <v>0.112549269769912</v>
      </c>
      <c r="DD28" s="477"/>
      <c r="DE28" s="477"/>
      <c r="DF28" s="493"/>
      <c r="DG28" s="559">
        <f>++DC28</f>
        <v>0.112549269769912</v>
      </c>
      <c r="DH28" s="477"/>
      <c r="DI28" s="477"/>
      <c r="DJ28" s="493"/>
      <c r="DK28" s="559">
        <f>++DG28</f>
        <v>0.112549269769912</v>
      </c>
      <c r="DL28" s="477"/>
      <c r="DM28" s="477"/>
      <c r="DN28" s="493"/>
      <c r="DO28" s="559">
        <f>+DK28</f>
        <v>0.112549269769912</v>
      </c>
      <c r="DP28" s="477"/>
      <c r="DQ28" s="477"/>
      <c r="DR28" s="493"/>
      <c r="DS28" s="559">
        <f>+DO28</f>
        <v>0.112549269769912</v>
      </c>
      <c r="DT28" s="477"/>
      <c r="DU28" s="477"/>
      <c r="DV28" s="493"/>
      <c r="DW28" s="559">
        <f>+DS28</f>
        <v>0.112549269769912</v>
      </c>
      <c r="DX28" s="477"/>
      <c r="DY28" s="477"/>
      <c r="DZ28" s="493"/>
      <c r="EA28" s="559">
        <f>+DW28</f>
        <v>0.112549269769912</v>
      </c>
      <c r="EB28" s="477"/>
      <c r="EC28" s="477"/>
      <c r="ED28" s="493"/>
      <c r="EE28" s="559">
        <f>+EA28</f>
        <v>0.112549269769912</v>
      </c>
      <c r="EF28" s="477"/>
      <c r="EG28" s="477"/>
      <c r="EH28" s="493"/>
      <c r="EI28" s="559">
        <f>+EE28</f>
        <v>0.112549269769912</v>
      </c>
      <c r="EJ28" s="477"/>
      <c r="EK28" s="477"/>
      <c r="EL28" s="493"/>
      <c r="EM28" s="559">
        <f>+EI28</f>
        <v>0.112549269769912</v>
      </c>
      <c r="EN28" s="477"/>
      <c r="EO28" s="477"/>
      <c r="EP28" s="493"/>
      <c r="EQ28" s="559">
        <f>+EI28</f>
        <v>0.112549269769912</v>
      </c>
      <c r="ER28" s="477"/>
      <c r="ES28" s="477"/>
      <c r="ET28" s="493"/>
      <c r="EU28" s="559">
        <f>+EM28</f>
        <v>0.112549269769912</v>
      </c>
      <c r="EV28" s="477"/>
      <c r="EW28" s="477"/>
      <c r="EX28" s="493"/>
      <c r="EY28" s="553"/>
      <c r="FD28" s="791">
        <v>0.13213410713511828</v>
      </c>
      <c r="FE28" s="477"/>
      <c r="FF28" s="477"/>
      <c r="FG28" s="493"/>
      <c r="FH28" s="559">
        <f>+FD28</f>
        <v>0.13213410713511828</v>
      </c>
      <c r="FI28" s="477"/>
      <c r="FJ28" s="477"/>
      <c r="FK28" s="493"/>
      <c r="FL28" s="559">
        <f>+FD28</f>
        <v>0.13213410713511828</v>
      </c>
      <c r="FM28" s="477"/>
      <c r="FN28" s="477"/>
      <c r="FO28" s="493"/>
      <c r="FP28" s="559">
        <f>+FL28</f>
        <v>0.13213410713511828</v>
      </c>
      <c r="FQ28" s="477"/>
      <c r="FR28" s="477"/>
      <c r="FS28" s="493"/>
      <c r="FT28" s="559">
        <f>+FD28</f>
        <v>0.13213410713511828</v>
      </c>
      <c r="FU28" s="477"/>
      <c r="FV28" s="477"/>
      <c r="FW28" s="493"/>
      <c r="FX28" s="559">
        <f>+FD28</f>
        <v>0.13213410713511828</v>
      </c>
      <c r="FY28" s="477"/>
      <c r="FZ28" s="477"/>
      <c r="GA28" s="493"/>
      <c r="GB28" s="559">
        <f>+FX28</f>
        <v>0.13213410713511828</v>
      </c>
      <c r="GC28" s="477"/>
      <c r="GD28" s="477"/>
      <c r="GE28" s="493"/>
      <c r="GF28" s="559">
        <f>+GB28</f>
        <v>0.13213410713511828</v>
      </c>
      <c r="GG28" s="477"/>
      <c r="GH28" s="477"/>
      <c r="GI28" s="493"/>
      <c r="GJ28" s="559">
        <f>+GF28</f>
        <v>0.13213410713511828</v>
      </c>
      <c r="GK28" s="477"/>
      <c r="GL28" s="477"/>
      <c r="GM28" s="493"/>
      <c r="GN28" s="559">
        <f>+GJ28</f>
        <v>0.13213410713511828</v>
      </c>
      <c r="GO28" s="477"/>
      <c r="GP28" s="477"/>
      <c r="GQ28" s="493"/>
      <c r="GR28" s="559">
        <f>+GN28</f>
        <v>0.13213410713511828</v>
      </c>
      <c r="GS28" s="477"/>
      <c r="GT28" s="477"/>
      <c r="GU28" s="493"/>
      <c r="GV28" s="559">
        <f>+GR28</f>
        <v>0.13213410713511828</v>
      </c>
      <c r="GW28" s="477"/>
      <c r="GX28" s="477"/>
      <c r="GY28" s="493"/>
      <c r="GZ28" s="559">
        <f>+GV28</f>
        <v>0.13213410713511828</v>
      </c>
      <c r="HA28" s="477"/>
      <c r="HB28" s="477"/>
      <c r="HC28" s="493"/>
      <c r="HD28" s="917">
        <f>+GZ28</f>
        <v>0.13213410713511828</v>
      </c>
      <c r="HG28" s="918"/>
      <c r="HH28" s="917">
        <f>+HD28</f>
        <v>0.13213410713511828</v>
      </c>
      <c r="HK28" s="918"/>
      <c r="HL28" s="917">
        <f>+HH28</f>
        <v>0.13213410713511828</v>
      </c>
      <c r="HO28" s="918"/>
      <c r="HP28" s="917">
        <f>+HL28</f>
        <v>0.13213410713511828</v>
      </c>
      <c r="HS28" s="918"/>
      <c r="HT28" s="917">
        <f>+HP28</f>
        <v>0.13213410713511828</v>
      </c>
      <c r="HW28" s="918"/>
      <c r="HY28" s="624">
        <f>+$I12</f>
        <v>0</v>
      </c>
      <c r="HZ28" s="363" t="s">
        <v>657</v>
      </c>
      <c r="IA28" s="477"/>
      <c r="IB28" s="493"/>
      <c r="IC28" s="624">
        <f>+'5 - Cost Support'!G197</f>
        <v>8.7492709443037039E-2</v>
      </c>
      <c r="ID28" s="363" t="s">
        <v>657</v>
      </c>
      <c r="IE28" s="477"/>
      <c r="IF28" s="493"/>
      <c r="IG28" s="785">
        <f>+'5 - Cost Support'!K197</f>
        <v>0</v>
      </c>
      <c r="IH28" s="363" t="s">
        <v>657</v>
      </c>
      <c r="II28" s="477"/>
      <c r="IJ28" s="493"/>
    </row>
    <row r="29" spans="1:244" ht="13">
      <c r="A29" s="554" t="s">
        <v>397</v>
      </c>
      <c r="B29" s="547"/>
      <c r="C29" s="560">
        <f>+L12</f>
        <v>0.11906753555682309</v>
      </c>
      <c r="D29" s="561"/>
      <c r="E29" s="557"/>
      <c r="F29" s="558"/>
      <c r="G29" s="560">
        <f>+C29</f>
        <v>0.11906753555682309</v>
      </c>
      <c r="H29" s="557"/>
      <c r="I29" s="557"/>
      <c r="J29" s="558"/>
      <c r="K29" s="554">
        <f>+G29</f>
        <v>0.11906753555682309</v>
      </c>
      <c r="L29" s="557"/>
      <c r="M29" s="557"/>
      <c r="N29" s="558"/>
      <c r="O29" s="554">
        <f>+K29</f>
        <v>0.11906753555682309</v>
      </c>
      <c r="P29" s="557"/>
      <c r="Q29" s="557"/>
      <c r="R29" s="558"/>
      <c r="S29" s="560">
        <f>+O29</f>
        <v>0.11906753555682309</v>
      </c>
      <c r="T29" s="477"/>
      <c r="U29" s="477"/>
      <c r="V29" s="493"/>
      <c r="W29" s="597">
        <f>+S29</f>
        <v>0.11906753555682309</v>
      </c>
      <c r="X29" s="477"/>
      <c r="Y29" s="477"/>
      <c r="Z29" s="493"/>
      <c r="AA29" s="597">
        <f>+W29</f>
        <v>0.11906753555682309</v>
      </c>
      <c r="AB29" s="477"/>
      <c r="AC29" s="477"/>
      <c r="AD29" s="493"/>
      <c r="AE29" s="597">
        <f>+AA29</f>
        <v>0.11906753555682309</v>
      </c>
      <c r="AF29" s="477"/>
      <c r="AG29" s="477"/>
      <c r="AH29" s="493"/>
      <c r="AI29" s="597">
        <f>+AE29</f>
        <v>0.11906753555682309</v>
      </c>
      <c r="AJ29" s="477"/>
      <c r="AK29" s="477"/>
      <c r="AL29" s="493"/>
      <c r="AM29" s="597">
        <f>+AI29</f>
        <v>0.11906753555682309</v>
      </c>
      <c r="AN29" s="477"/>
      <c r="AO29" s="477"/>
      <c r="AP29" s="493"/>
      <c r="AQ29" s="597">
        <f>+AM29</f>
        <v>0.11906753555682309</v>
      </c>
      <c r="AR29" s="477"/>
      <c r="AS29" s="477"/>
      <c r="AT29" s="493"/>
      <c r="AU29" s="554">
        <f>($I11+$I13/100*AU27)</f>
        <v>0</v>
      </c>
      <c r="AV29" s="557"/>
      <c r="AW29" s="557"/>
      <c r="AX29" s="553"/>
      <c r="AY29" s="554">
        <f>($I11+$I13/100*AY27)</f>
        <v>0</v>
      </c>
      <c r="AZ29" s="557"/>
      <c r="BA29" s="557"/>
      <c r="BB29" s="553"/>
      <c r="BC29" s="554">
        <f>($I11+$I13/100*BC27)</f>
        <v>0</v>
      </c>
      <c r="BD29" s="557"/>
      <c r="BE29" s="557"/>
      <c r="BF29" s="553"/>
      <c r="BG29" s="554">
        <f>+I17</f>
        <v>0</v>
      </c>
      <c r="BH29" s="557"/>
      <c r="BI29" s="557"/>
      <c r="BJ29" s="553"/>
      <c r="BK29" s="554">
        <f>+I17</f>
        <v>0</v>
      </c>
      <c r="BL29" s="557"/>
      <c r="BM29" s="557"/>
      <c r="BN29" s="553"/>
      <c r="BO29" s="554">
        <f>($I11+$I13/100*BO27)</f>
        <v>0</v>
      </c>
      <c r="BP29" s="557"/>
      <c r="BQ29" s="557"/>
      <c r="BR29" s="553"/>
      <c r="BS29" s="597">
        <f>+AQ29</f>
        <v>0.11906753555682309</v>
      </c>
      <c r="BT29" s="477"/>
      <c r="BU29" s="477"/>
      <c r="BV29" s="493"/>
      <c r="BW29" s="598">
        <f>+BW28</f>
        <v>0.112549269769912</v>
      </c>
      <c r="BX29" s="477"/>
      <c r="BY29" s="477"/>
      <c r="BZ29" s="493"/>
      <c r="CA29" s="598">
        <f>+BS29</f>
        <v>0.11906753555682309</v>
      </c>
      <c r="CB29" s="477"/>
      <c r="CC29" s="477"/>
      <c r="CD29" s="493"/>
      <c r="CE29" s="598">
        <f>+BS29</f>
        <v>0.11906753555682309</v>
      </c>
      <c r="CF29" s="477"/>
      <c r="CG29" s="477"/>
      <c r="CH29" s="493"/>
      <c r="CI29" s="598">
        <f>+CI28</f>
        <v>0.112549269769912</v>
      </c>
      <c r="CJ29" s="477"/>
      <c r="CK29" s="477"/>
      <c r="CL29" s="493"/>
      <c r="CM29" s="598">
        <f>+CM28</f>
        <v>0.112549269769912</v>
      </c>
      <c r="CN29" s="477"/>
      <c r="CO29" s="477"/>
      <c r="CP29" s="493"/>
      <c r="CQ29" s="598">
        <f>+CQ28</f>
        <v>0.112549269769912</v>
      </c>
      <c r="CR29" s="477"/>
      <c r="CS29" s="477"/>
      <c r="CT29" s="493"/>
      <c r="CU29" s="598">
        <f>+CU28</f>
        <v>0.112549269769912</v>
      </c>
      <c r="CV29" s="477"/>
      <c r="CW29" s="477"/>
      <c r="CX29" s="493"/>
      <c r="CY29" s="598">
        <f>+CY28</f>
        <v>0.112549269769912</v>
      </c>
      <c r="CZ29" s="477"/>
      <c r="DA29" s="477"/>
      <c r="DB29" s="493"/>
      <c r="DC29" s="598">
        <f>+DC28</f>
        <v>0.112549269769912</v>
      </c>
      <c r="DD29" s="477"/>
      <c r="DE29" s="477"/>
      <c r="DF29" s="493"/>
      <c r="DG29" s="598">
        <f>+DG28</f>
        <v>0.112549269769912</v>
      </c>
      <c r="DH29" s="477"/>
      <c r="DI29" s="477"/>
      <c r="DJ29" s="493"/>
      <c r="DK29" s="598">
        <f>+DK28</f>
        <v>0.112549269769912</v>
      </c>
      <c r="DL29" s="477"/>
      <c r="DM29" s="477"/>
      <c r="DN29" s="493"/>
      <c r="DO29" s="559">
        <f>+DO28</f>
        <v>0.112549269769912</v>
      </c>
      <c r="DP29" s="477"/>
      <c r="DQ29" s="477"/>
      <c r="DR29" s="493"/>
      <c r="DS29" s="559">
        <f>+DS28</f>
        <v>0.112549269769912</v>
      </c>
      <c r="DT29" s="477"/>
      <c r="DU29" s="477"/>
      <c r="DV29" s="493"/>
      <c r="DW29" s="559">
        <f>+DW28</f>
        <v>0.112549269769912</v>
      </c>
      <c r="DX29" s="477"/>
      <c r="DY29" s="477"/>
      <c r="DZ29" s="493"/>
      <c r="EA29" s="559">
        <f>+EA28</f>
        <v>0.112549269769912</v>
      </c>
      <c r="EB29" s="477"/>
      <c r="EC29" s="477"/>
      <c r="ED29" s="493"/>
      <c r="EE29" s="559">
        <f>+EE28</f>
        <v>0.112549269769912</v>
      </c>
      <c r="EF29" s="477"/>
      <c r="EG29" s="477"/>
      <c r="EH29" s="493"/>
      <c r="EI29" s="559">
        <f>+EI28</f>
        <v>0.112549269769912</v>
      </c>
      <c r="EJ29" s="477"/>
      <c r="EK29" s="477"/>
      <c r="EL29" s="493"/>
      <c r="EM29" s="559">
        <f>+EM28</f>
        <v>0.112549269769912</v>
      </c>
      <c r="EN29" s="477"/>
      <c r="EO29" s="477"/>
      <c r="EP29" s="493"/>
      <c r="EQ29" s="559">
        <f>+EQ28</f>
        <v>0.112549269769912</v>
      </c>
      <c r="ER29" s="477"/>
      <c r="ES29" s="477"/>
      <c r="ET29" s="493"/>
      <c r="EU29" s="559">
        <f>+EU28</f>
        <v>0.112549269769912</v>
      </c>
      <c r="EV29" s="477"/>
      <c r="EW29" s="477"/>
      <c r="EX29" s="493"/>
      <c r="EY29" s="553"/>
      <c r="FD29" s="559">
        <f>+FD28</f>
        <v>0.13213410713511828</v>
      </c>
      <c r="FE29" s="477"/>
      <c r="FF29" s="477"/>
      <c r="FG29" s="493"/>
      <c r="FH29" s="559">
        <f>+FH28</f>
        <v>0.13213410713511828</v>
      </c>
      <c r="FI29" s="477"/>
      <c r="FJ29" s="477"/>
      <c r="FK29" s="493"/>
      <c r="FL29" s="559">
        <f>+FL28</f>
        <v>0.13213410713511828</v>
      </c>
      <c r="FM29" s="477"/>
      <c r="FN29" s="477"/>
      <c r="FO29" s="493"/>
      <c r="FP29" s="559">
        <f>+FP28</f>
        <v>0.13213410713511828</v>
      </c>
      <c r="FQ29" s="477"/>
      <c r="FR29" s="477"/>
      <c r="FS29" s="493"/>
      <c r="FT29" s="559">
        <f>+FT28</f>
        <v>0.13213410713511828</v>
      </c>
      <c r="FU29" s="477"/>
      <c r="FV29" s="477"/>
      <c r="FW29" s="493"/>
      <c r="FX29" s="559">
        <f>+FX28</f>
        <v>0.13213410713511828</v>
      </c>
      <c r="FY29" s="477"/>
      <c r="FZ29" s="477"/>
      <c r="GA29" s="493"/>
      <c r="GB29" s="559">
        <f>+GB28</f>
        <v>0.13213410713511828</v>
      </c>
      <c r="GC29" s="477"/>
      <c r="GD29" s="477"/>
      <c r="GE29" s="493"/>
      <c r="GF29" s="559">
        <f>+GF28</f>
        <v>0.13213410713511828</v>
      </c>
      <c r="GG29" s="477"/>
      <c r="GH29" s="477"/>
      <c r="GI29" s="493"/>
      <c r="GJ29" s="559">
        <f>+GJ28</f>
        <v>0.13213410713511828</v>
      </c>
      <c r="GK29" s="477"/>
      <c r="GL29" s="477"/>
      <c r="GM29" s="493"/>
      <c r="GN29" s="559">
        <f>+GN28</f>
        <v>0.13213410713511828</v>
      </c>
      <c r="GO29" s="477"/>
      <c r="GP29" s="477"/>
      <c r="GQ29" s="493"/>
      <c r="GR29" s="559">
        <f>+GR28</f>
        <v>0.13213410713511828</v>
      </c>
      <c r="GS29" s="477"/>
      <c r="GT29" s="477"/>
      <c r="GU29" s="493"/>
      <c r="GV29" s="559">
        <f>+GV28</f>
        <v>0.13213410713511828</v>
      </c>
      <c r="GW29" s="477"/>
      <c r="GX29" s="477"/>
      <c r="GY29" s="493"/>
      <c r="GZ29" s="559">
        <f>+GZ28</f>
        <v>0.13213410713511828</v>
      </c>
      <c r="HA29" s="477"/>
      <c r="HB29" s="477"/>
      <c r="HC29" s="493"/>
      <c r="HD29" s="917">
        <f>+HD28</f>
        <v>0.13213410713511828</v>
      </c>
      <c r="HG29" s="918"/>
      <c r="HH29" s="917">
        <f>+HH28</f>
        <v>0.13213410713511828</v>
      </c>
      <c r="HK29" s="918"/>
      <c r="HL29" s="917">
        <f>+HL28</f>
        <v>0.13213410713511828</v>
      </c>
      <c r="HO29" s="918"/>
      <c r="HP29" s="917">
        <f>+HP28</f>
        <v>0.13213410713511828</v>
      </c>
      <c r="HS29" s="918"/>
      <c r="HT29" s="917">
        <f>+HT28</f>
        <v>0.13213410713511828</v>
      </c>
      <c r="HW29" s="918"/>
      <c r="HY29" s="624">
        <f>($I12+$I14/100*HY27)</f>
        <v>0</v>
      </c>
      <c r="HZ29" s="363" t="s">
        <v>657</v>
      </c>
      <c r="IA29" s="477"/>
      <c r="IB29" s="493"/>
      <c r="IC29" s="624">
        <f>+IC28</f>
        <v>8.7492709443037039E-2</v>
      </c>
      <c r="ID29" s="363" t="s">
        <v>657</v>
      </c>
      <c r="IE29" s="477"/>
      <c r="IF29" s="493"/>
      <c r="IG29" s="785">
        <f>+IG28</f>
        <v>0</v>
      </c>
      <c r="IH29" s="363" t="s">
        <v>657</v>
      </c>
      <c r="II29" s="477"/>
      <c r="IJ29" s="493"/>
    </row>
    <row r="30" spans="1:244">
      <c r="A30" s="554" t="s">
        <v>399</v>
      </c>
      <c r="B30" s="547"/>
      <c r="C30" s="562">
        <v>19614847.300000001</v>
      </c>
      <c r="D30" s="563" t="s">
        <v>222</v>
      </c>
      <c r="E30" s="563"/>
      <c r="F30" s="558"/>
      <c r="G30" s="562">
        <v>5096992.9800000004</v>
      </c>
      <c r="H30" s="563"/>
      <c r="I30" s="563"/>
      <c r="J30" s="558"/>
      <c r="K30" s="562">
        <f>15481830-206959.94-1836400.57</f>
        <v>13438469.49</v>
      </c>
      <c r="L30" s="563" t="s">
        <v>222</v>
      </c>
      <c r="M30" s="563"/>
      <c r="N30" s="558"/>
      <c r="O30" s="562">
        <f>5293756-43838</f>
        <v>5249918</v>
      </c>
      <c r="P30" s="563" t="s">
        <v>222</v>
      </c>
      <c r="Q30" s="563"/>
      <c r="R30" s="558"/>
      <c r="S30" s="1443">
        <f>2337635.32+213225.61+15030.11</f>
        <v>2565891.0399999996</v>
      </c>
      <c r="T30" s="507" t="s">
        <v>222</v>
      </c>
      <c r="U30" s="507"/>
      <c r="V30" s="493"/>
      <c r="W30" s="1443">
        <v>30504919</v>
      </c>
      <c r="X30" s="507" t="s">
        <v>222</v>
      </c>
      <c r="Y30" s="507"/>
      <c r="Z30" s="493"/>
      <c r="AA30" s="1443">
        <v>19836665</v>
      </c>
      <c r="AB30" s="507" t="s">
        <v>222</v>
      </c>
      <c r="AC30" s="507"/>
      <c r="AD30" s="493"/>
      <c r="AE30" s="1443">
        <f>197869+4438</f>
        <v>202307</v>
      </c>
      <c r="AF30" s="507" t="s">
        <v>222</v>
      </c>
      <c r="AG30" s="507"/>
      <c r="AH30" s="493"/>
      <c r="AI30" s="1443">
        <v>13004087</v>
      </c>
      <c r="AJ30" s="507" t="s">
        <v>222</v>
      </c>
      <c r="AK30" s="507"/>
      <c r="AL30" s="493"/>
      <c r="AM30" s="1443">
        <v>4878144.29</v>
      </c>
      <c r="AN30" s="507" t="s">
        <v>222</v>
      </c>
      <c r="AO30" s="507"/>
      <c r="AP30" s="493"/>
      <c r="AQ30" s="1443">
        <f>17568587.89+1253986.64+61355.08+27016015.83-6082927</f>
        <v>39817018.439999998</v>
      </c>
      <c r="AR30" s="507" t="s">
        <v>222</v>
      </c>
      <c r="AS30" s="507"/>
      <c r="AT30" s="493"/>
      <c r="AU30" s="542">
        <v>30000000</v>
      </c>
      <c r="AV30" s="563"/>
      <c r="AW30" s="563"/>
      <c r="AX30" s="558"/>
      <c r="AY30" s="542">
        <v>20000000</v>
      </c>
      <c r="AZ30" s="563"/>
      <c r="BA30" s="563"/>
      <c r="BB30" s="558"/>
      <c r="BC30" s="542">
        <v>30000000</v>
      </c>
      <c r="BD30" s="563"/>
      <c r="BE30" s="563"/>
      <c r="BF30" s="558"/>
      <c r="BG30" s="542">
        <v>20000000</v>
      </c>
      <c r="BH30" s="563"/>
      <c r="BI30" s="563"/>
      <c r="BJ30" s="558"/>
      <c r="BK30" s="542">
        <v>30000000</v>
      </c>
      <c r="BL30" s="563"/>
      <c r="BM30" s="563"/>
      <c r="BN30" s="558"/>
      <c r="BO30" s="542">
        <v>20000000</v>
      </c>
      <c r="BP30" s="563"/>
      <c r="BQ30" s="563"/>
      <c r="BR30" s="558"/>
      <c r="BS30" s="1443">
        <v>365679</v>
      </c>
      <c r="BT30" s="507" t="s">
        <v>222</v>
      </c>
      <c r="BU30" s="507"/>
      <c r="BV30" s="493"/>
      <c r="BW30" s="1444">
        <v>25381014</v>
      </c>
      <c r="BX30" s="507" t="s">
        <v>222</v>
      </c>
      <c r="BY30" s="507"/>
      <c r="BZ30" s="493"/>
      <c r="CA30" s="1444">
        <v>2395092.48</v>
      </c>
      <c r="CB30" s="507" t="s">
        <v>222</v>
      </c>
      <c r="CC30" s="507"/>
      <c r="CD30" s="493"/>
      <c r="CE30" s="1446">
        <v>207901.28</v>
      </c>
      <c r="CF30" s="507" t="s">
        <v>222</v>
      </c>
      <c r="CG30" s="507"/>
      <c r="CH30" s="493"/>
      <c r="CI30" s="1444">
        <v>543960</v>
      </c>
      <c r="CJ30" s="507" t="s">
        <v>222</v>
      </c>
      <c r="CK30" s="507"/>
      <c r="CL30" s="493"/>
      <c r="CM30" s="1445">
        <f>14427496.55+6854936</f>
        <v>21282432.550000001</v>
      </c>
      <c r="CN30" s="507" t="s">
        <v>222</v>
      </c>
      <c r="CO30" s="507"/>
      <c r="CP30" s="493"/>
      <c r="CQ30" s="1445">
        <f>56618128.87+32162253.56</f>
        <v>88780382.429999992</v>
      </c>
      <c r="CR30" s="507" t="s">
        <v>222</v>
      </c>
      <c r="CS30" s="507"/>
      <c r="CT30" s="493"/>
      <c r="CU30" s="676">
        <v>29752596.390000001</v>
      </c>
      <c r="CV30" s="507" t="s">
        <v>222</v>
      </c>
      <c r="CW30" s="507"/>
      <c r="CX30" s="493"/>
      <c r="CY30" s="676">
        <v>32283.850000000057</v>
      </c>
      <c r="CZ30" s="507" t="s">
        <v>222</v>
      </c>
      <c r="DA30" s="507"/>
      <c r="DB30" s="493"/>
      <c r="DC30" s="676">
        <v>1959349.5999999999</v>
      </c>
      <c r="DD30" s="507" t="s">
        <v>222</v>
      </c>
      <c r="DE30" s="507"/>
      <c r="DF30" s="493"/>
      <c r="DG30" s="676">
        <v>1084136.8699999999</v>
      </c>
      <c r="DH30" s="507" t="s">
        <v>222</v>
      </c>
      <c r="DI30" s="507"/>
      <c r="DJ30" s="493"/>
      <c r="DK30" s="1445">
        <v>24184987.59</v>
      </c>
      <c r="DL30" s="507" t="s">
        <v>222</v>
      </c>
      <c r="DM30" s="507"/>
      <c r="DN30" s="493"/>
      <c r="DO30" s="1443">
        <v>862078.96999999951</v>
      </c>
      <c r="DP30" s="507" t="s">
        <v>222</v>
      </c>
      <c r="DQ30" s="507"/>
      <c r="DR30" s="493"/>
      <c r="DS30" s="1443">
        <v>365013.11999999866</v>
      </c>
      <c r="DT30" s="507" t="s">
        <v>222</v>
      </c>
      <c r="DU30" s="507"/>
      <c r="DV30" s="493"/>
      <c r="DW30" s="1443">
        <f>53507.77+249.82</f>
        <v>53757.59</v>
      </c>
      <c r="DX30" s="507" t="s">
        <v>222</v>
      </c>
      <c r="DY30" s="507"/>
      <c r="DZ30" s="493"/>
      <c r="EA30" s="1443">
        <f>-313293.270000002</f>
        <v>-313293.270000002</v>
      </c>
      <c r="EB30" s="507" t="s">
        <v>222</v>
      </c>
      <c r="EC30" s="507"/>
      <c r="ED30" s="493"/>
      <c r="EE30" s="1443">
        <f>8452784.64+17014.8</f>
        <v>8469799.4400000013</v>
      </c>
      <c r="EF30" s="507" t="s">
        <v>222</v>
      </c>
      <c r="EG30" s="507"/>
      <c r="EH30" s="493"/>
      <c r="EI30" s="1443">
        <f>337475.77+1157.1</f>
        <v>338632.87</v>
      </c>
      <c r="EJ30" s="507" t="s">
        <v>222</v>
      </c>
      <c r="EK30" s="507"/>
      <c r="EL30" s="493"/>
      <c r="EM30" s="1443">
        <f>11466731.9+29432.29</f>
        <v>11496164.189999999</v>
      </c>
      <c r="EN30" s="507" t="s">
        <v>222</v>
      </c>
      <c r="EO30" s="507"/>
      <c r="EP30" s="493"/>
      <c r="EQ30" s="1443">
        <v>22025520.259999998</v>
      </c>
      <c r="ER30" s="507" t="s">
        <v>222</v>
      </c>
      <c r="ES30" s="507"/>
      <c r="ET30" s="493"/>
      <c r="EU30" s="1443">
        <v>28459889.720000003</v>
      </c>
      <c r="EV30" s="507" t="s">
        <v>222</v>
      </c>
      <c r="EW30" s="507"/>
      <c r="EX30" s="493"/>
      <c r="EY30" s="553"/>
      <c r="FD30" s="506">
        <v>12707126</v>
      </c>
      <c r="FE30" s="507" t="s">
        <v>222</v>
      </c>
      <c r="FF30" s="507"/>
      <c r="FG30" s="493"/>
      <c r="FH30" s="506">
        <v>8944044</v>
      </c>
      <c r="FI30" s="507" t="s">
        <v>222</v>
      </c>
      <c r="FJ30" s="507"/>
      <c r="FK30" s="493"/>
      <c r="FL30" s="506">
        <v>1404585.91</v>
      </c>
      <c r="FM30" s="507" t="s">
        <v>222</v>
      </c>
      <c r="FN30" s="507"/>
      <c r="FO30" s="493"/>
      <c r="FP30" s="506">
        <v>169603</v>
      </c>
      <c r="FQ30" s="507" t="s">
        <v>222</v>
      </c>
      <c r="FR30" s="507"/>
      <c r="FS30" s="493"/>
      <c r="FT30" s="506">
        <v>12537.86</v>
      </c>
      <c r="FU30" s="507" t="s">
        <v>222</v>
      </c>
      <c r="FV30" s="507"/>
      <c r="FW30" s="493"/>
      <c r="FX30" s="506">
        <v>40332599.799999997</v>
      </c>
      <c r="FY30" s="507" t="s">
        <v>222</v>
      </c>
      <c r="FZ30" s="507"/>
      <c r="GA30" s="493"/>
      <c r="GB30" s="506">
        <v>530533.42000000004</v>
      </c>
      <c r="GC30" s="507" t="s">
        <v>222</v>
      </c>
      <c r="GD30" s="507"/>
      <c r="GE30" s="493"/>
      <c r="GF30" s="506">
        <v>-539066.93999999971</v>
      </c>
      <c r="GG30" s="507" t="s">
        <v>222</v>
      </c>
      <c r="GH30" s="507"/>
      <c r="GI30" s="493"/>
      <c r="GJ30" s="506">
        <v>33275227.509999998</v>
      </c>
      <c r="GK30" s="507" t="s">
        <v>222</v>
      </c>
      <c r="GL30" s="507"/>
      <c r="GM30" s="493"/>
      <c r="GN30" s="506">
        <v>497855.79</v>
      </c>
      <c r="GO30" s="507" t="s">
        <v>222</v>
      </c>
      <c r="GP30" s="507"/>
      <c r="GQ30" s="493"/>
      <c r="GR30" s="506">
        <v>1756061.9100000001</v>
      </c>
      <c r="GS30" s="507" t="s">
        <v>222</v>
      </c>
      <c r="GT30" s="507"/>
      <c r="GU30" s="493"/>
      <c r="GV30" s="506">
        <v>36868090.68999999</v>
      </c>
      <c r="GW30" s="507" t="s">
        <v>222</v>
      </c>
      <c r="GX30" s="507"/>
      <c r="GY30" s="493"/>
      <c r="GZ30" s="506">
        <v>80280476.510000005</v>
      </c>
      <c r="HA30" s="507" t="s">
        <v>222</v>
      </c>
      <c r="HB30" s="507"/>
      <c r="HC30" s="493"/>
      <c r="HD30" s="919">
        <v>-531831</v>
      </c>
      <c r="HE30" s="909" t="s">
        <v>222</v>
      </c>
      <c r="HF30" s="909"/>
      <c r="HG30" s="918"/>
      <c r="HH30" s="919">
        <v>1297564</v>
      </c>
      <c r="HI30" s="909" t="s">
        <v>222</v>
      </c>
      <c r="HJ30" s="909"/>
      <c r="HK30" s="918"/>
      <c r="HL30" s="919">
        <v>4400963</v>
      </c>
      <c r="HM30" s="909" t="s">
        <v>222</v>
      </c>
      <c r="HN30" s="909"/>
      <c r="HO30" s="918"/>
      <c r="HP30" s="919">
        <v>946579.94</v>
      </c>
      <c r="HQ30" s="909" t="s">
        <v>222</v>
      </c>
      <c r="HR30" s="909"/>
      <c r="HS30" s="918"/>
      <c r="HT30" s="919">
        <v>390195</v>
      </c>
      <c r="HU30" s="909" t="s">
        <v>222</v>
      </c>
      <c r="HV30" s="909"/>
      <c r="HW30" s="918"/>
      <c r="HY30" s="506">
        <v>0</v>
      </c>
      <c r="HZ30" s="507"/>
      <c r="IA30" s="507"/>
      <c r="IB30" s="493"/>
      <c r="IC30" s="506">
        <v>1159350</v>
      </c>
      <c r="ID30" s="507"/>
      <c r="IE30" s="507"/>
      <c r="IF30" s="493"/>
      <c r="IG30" s="506">
        <f>+'5 - Cost Support'!K190</f>
        <v>0</v>
      </c>
      <c r="IH30" s="507"/>
      <c r="II30" s="507"/>
      <c r="IJ30" s="493"/>
    </row>
    <row r="31" spans="1:244">
      <c r="A31" s="554" t="s">
        <v>400</v>
      </c>
      <c r="B31" s="547"/>
      <c r="C31" s="542">
        <f>IF(C30=0,0,C30/C25)</f>
        <v>445791.98409090913</v>
      </c>
      <c r="D31" s="563"/>
      <c r="E31" s="563"/>
      <c r="F31" s="558"/>
      <c r="G31" s="542">
        <f>IF(G30=0,0,G30/G25)</f>
        <v>115840.74954545456</v>
      </c>
      <c r="H31" s="563"/>
      <c r="I31" s="563"/>
      <c r="J31" s="558"/>
      <c r="K31" s="542">
        <f>IF(K30=0,0,K30/K25)</f>
        <v>305419.76113636367</v>
      </c>
      <c r="L31" s="563"/>
      <c r="M31" s="563"/>
      <c r="N31" s="558"/>
      <c r="O31" s="542">
        <f>IF(O30=0,0,O30/O25)</f>
        <v>119316.31818181818</v>
      </c>
      <c r="P31" s="563"/>
      <c r="Q31" s="563"/>
      <c r="R31" s="558"/>
      <c r="S31" s="506">
        <f>IF(S30=0,0,S30/S25)</f>
        <v>58315.705454545445</v>
      </c>
      <c r="T31" s="507"/>
      <c r="U31" s="507"/>
      <c r="V31" s="493"/>
      <c r="W31" s="506">
        <f>IF(W30=0,0,W30/W25)</f>
        <v>693293.61363636365</v>
      </c>
      <c r="X31" s="507"/>
      <c r="Y31" s="507"/>
      <c r="Z31" s="493"/>
      <c r="AA31" s="506">
        <f>IF(AA30=0,0,AA30/AA25)</f>
        <v>450833.29545454547</v>
      </c>
      <c r="AB31" s="507"/>
      <c r="AC31" s="507"/>
      <c r="AD31" s="493"/>
      <c r="AE31" s="506">
        <f>IF(AE30=0,0,AE30/AE25)</f>
        <v>4597.886363636364</v>
      </c>
      <c r="AF31" s="507"/>
      <c r="AG31" s="507"/>
      <c r="AH31" s="493"/>
      <c r="AI31" s="506">
        <f>IF(AI30=0,0,AI30/AI25)</f>
        <v>295547.43181818182</v>
      </c>
      <c r="AJ31" s="507"/>
      <c r="AK31" s="507"/>
      <c r="AL31" s="493"/>
      <c r="AM31" s="506">
        <f>IF(AM30=0,0,AM30/AM25)</f>
        <v>110866.91568181818</v>
      </c>
      <c r="AN31" s="507"/>
      <c r="AO31" s="507"/>
      <c r="AP31" s="493"/>
      <c r="AQ31" s="506">
        <f>IF(AQ30=0,0,AQ30/AQ25)</f>
        <v>904932.23727272719</v>
      </c>
      <c r="AR31" s="507"/>
      <c r="AS31" s="507"/>
      <c r="AT31" s="493"/>
      <c r="AU31" s="542">
        <f>+AU30/AU25</f>
        <v>750000</v>
      </c>
      <c r="AV31" s="563"/>
      <c r="AW31" s="563"/>
      <c r="AX31" s="558"/>
      <c r="AY31" s="542">
        <f>+AY30/AY25</f>
        <v>500000</v>
      </c>
      <c r="AZ31" s="563"/>
      <c r="BA31" s="563"/>
      <c r="BB31" s="558"/>
      <c r="BC31" s="542">
        <f>+BC30/BC25</f>
        <v>750000</v>
      </c>
      <c r="BD31" s="563"/>
      <c r="BE31" s="563"/>
      <c r="BF31" s="558"/>
      <c r="BG31" s="542">
        <f>+BG30/BG25</f>
        <v>571428.57142857148</v>
      </c>
      <c r="BH31" s="563"/>
      <c r="BI31" s="563"/>
      <c r="BJ31" s="558"/>
      <c r="BK31" s="542">
        <f>+BK30/BK25</f>
        <v>1200000</v>
      </c>
      <c r="BL31" s="563"/>
      <c r="BM31" s="563"/>
      <c r="BN31" s="558"/>
      <c r="BO31" s="542">
        <f>+BO30/BO25</f>
        <v>666666.66666666663</v>
      </c>
      <c r="BP31" s="563"/>
      <c r="BQ31" s="563"/>
      <c r="BR31" s="558"/>
      <c r="BS31" s="506">
        <f>IF(BS30=0,0,BS30/BS25)</f>
        <v>8310.886363636364</v>
      </c>
      <c r="BT31" s="507"/>
      <c r="BU31" s="507"/>
      <c r="BV31" s="493"/>
      <c r="BW31" s="506">
        <f>IF(BW30=0,0,BW30/BW25)</f>
        <v>576841.22727272729</v>
      </c>
      <c r="BX31" s="507"/>
      <c r="BY31" s="507"/>
      <c r="BZ31" s="493"/>
      <c r="CA31" s="506">
        <f>IF(CA30=0,0,CA30/CA25)</f>
        <v>54433.919999999998</v>
      </c>
      <c r="CB31" s="507"/>
      <c r="CC31" s="507"/>
      <c r="CD31" s="493"/>
      <c r="CE31" s="506">
        <f>IF(CE30=0,0,CE30/CE25)</f>
        <v>4725.0290909090909</v>
      </c>
      <c r="CF31" s="507"/>
      <c r="CG31" s="507"/>
      <c r="CH31" s="493"/>
      <c r="CI31" s="506">
        <f>IF(CI30=0,0,CI30/CI25)</f>
        <v>12362.727272727272</v>
      </c>
      <c r="CJ31" s="507"/>
      <c r="CK31" s="507"/>
      <c r="CL31" s="493"/>
      <c r="CM31" s="506">
        <f>IF(CM30=0,0,CM30/CM25)</f>
        <v>483691.64886363636</v>
      </c>
      <c r="CN31" s="507"/>
      <c r="CO31" s="507"/>
      <c r="CP31" s="493"/>
      <c r="CQ31" s="506">
        <f>IF(CQ30=0,0,CQ30/CQ25)</f>
        <v>2017735.9643181816</v>
      </c>
      <c r="CR31" s="507"/>
      <c r="CS31" s="507"/>
      <c r="CT31" s="493"/>
      <c r="CU31" s="506">
        <f>IF(CU30=0,0,CU30/CU25)</f>
        <v>676195.37250000006</v>
      </c>
      <c r="CV31" s="507"/>
      <c r="CW31" s="507"/>
      <c r="CX31" s="493"/>
      <c r="CY31" s="506">
        <f>IF(CY30=0,0,CY30/CY25)</f>
        <v>733.72386363636497</v>
      </c>
      <c r="CZ31" s="507"/>
      <c r="DA31" s="507"/>
      <c r="DB31" s="493"/>
      <c r="DC31" s="506">
        <f>IF(DC30=0,0,DC30/DC25)</f>
        <v>44530.672727272722</v>
      </c>
      <c r="DD31" s="507"/>
      <c r="DE31" s="507"/>
      <c r="DF31" s="493"/>
      <c r="DG31" s="506">
        <f>IF(DG30=0,0,DG30/DG25)</f>
        <v>24639.474318181816</v>
      </c>
      <c r="DH31" s="507"/>
      <c r="DI31" s="507"/>
      <c r="DJ31" s="493"/>
      <c r="DK31" s="506">
        <f>IF(DK30=0,0,DK30/DK25)</f>
        <v>549658.80886363634</v>
      </c>
      <c r="DL31" s="507"/>
      <c r="DM31" s="507"/>
      <c r="DN31" s="493"/>
      <c r="DO31" s="506">
        <f>IF(DO30=0,0,DO30/DO25)</f>
        <v>19592.703863636354</v>
      </c>
      <c r="DP31" s="507"/>
      <c r="DQ31" s="507"/>
      <c r="DR31" s="493"/>
      <c r="DS31" s="506">
        <f>IF(DS30=0,0,DS30/DS25)</f>
        <v>8295.7527272726966</v>
      </c>
      <c r="DT31" s="507"/>
      <c r="DU31" s="507"/>
      <c r="DV31" s="493"/>
      <c r="DW31" s="506">
        <f>IF(DW30=0,0,DW30/DW25)</f>
        <v>1221.7634090909089</v>
      </c>
      <c r="DX31" s="507"/>
      <c r="DY31" s="507"/>
      <c r="DZ31" s="493"/>
      <c r="EA31" s="506">
        <f>IF(EA30=0,0,EA30/EA25)</f>
        <v>-7120.3015909091364</v>
      </c>
      <c r="EB31" s="507"/>
      <c r="EC31" s="507"/>
      <c r="ED31" s="493"/>
      <c r="EE31" s="506">
        <f>IF(EE30=0,0,EE30/EE25)</f>
        <v>192495.44181818186</v>
      </c>
      <c r="EF31" s="507"/>
      <c r="EG31" s="507"/>
      <c r="EH31" s="493"/>
      <c r="EI31" s="506">
        <f>IF(EI30=0,0,EI30/EI25)</f>
        <v>7696.2015909090906</v>
      </c>
      <c r="EJ31" s="507"/>
      <c r="EK31" s="507"/>
      <c r="EL31" s="493"/>
      <c r="EM31" s="506">
        <f>IF(EM30=0,0,EM30/EM25)</f>
        <v>261276.45886363636</v>
      </c>
      <c r="EN31" s="507"/>
      <c r="EO31" s="507"/>
      <c r="EP31" s="493"/>
      <c r="EQ31" s="506">
        <f>IF(EQ30=0,0,EQ30/EQ25)</f>
        <v>500580.00590909086</v>
      </c>
      <c r="ER31" s="507"/>
      <c r="ES31" s="507"/>
      <c r="ET31" s="493"/>
      <c r="EU31" s="506">
        <f>IF(EU30=0,0,EU30/EU25)</f>
        <v>646815.67545454553</v>
      </c>
      <c r="EV31" s="507"/>
      <c r="EW31" s="507"/>
      <c r="EX31" s="493"/>
      <c r="EY31" s="553"/>
      <c r="FD31" s="506">
        <f>IF(FD30=0,0,FD30/FD25)</f>
        <v>1270712.6000000001</v>
      </c>
      <c r="FE31" s="507"/>
      <c r="FF31" s="507"/>
      <c r="FG31" s="493"/>
      <c r="FH31" s="506">
        <f>IF(FH30=0,0,FH30/FH25)</f>
        <v>894404.4</v>
      </c>
      <c r="FI31" s="507"/>
      <c r="FJ31" s="507"/>
      <c r="FK31" s="493"/>
      <c r="FL31" s="506">
        <f>IF(FL30=0,0,FL30/FL25)</f>
        <v>140458.59099999999</v>
      </c>
      <c r="FM31" s="507"/>
      <c r="FN31" s="507"/>
      <c r="FO31" s="493"/>
      <c r="FP31" s="506">
        <f>IF(FP30=0,0,FP30/FP25)</f>
        <v>16960.3</v>
      </c>
      <c r="FQ31" s="507"/>
      <c r="FR31" s="507"/>
      <c r="FS31" s="493"/>
      <c r="FT31" s="506">
        <f>IF(FT30=0,0,FT30/FT25)</f>
        <v>1253.7860000000001</v>
      </c>
      <c r="FU31" s="507"/>
      <c r="FV31" s="507"/>
      <c r="FW31" s="493"/>
      <c r="FX31" s="506">
        <f>IF(FX30=0,0,FX30/FX25)</f>
        <v>4033259.9799999995</v>
      </c>
      <c r="FY31" s="507"/>
      <c r="FZ31" s="507"/>
      <c r="GA31" s="493"/>
      <c r="GB31" s="506">
        <f>IF(GB30=0,0,GB30/GB25)</f>
        <v>53053.342000000004</v>
      </c>
      <c r="GC31" s="507"/>
      <c r="GD31" s="507"/>
      <c r="GE31" s="493"/>
      <c r="GF31" s="506">
        <f>IF(GF30=0,0,GF30/GF25)</f>
        <v>-53906.693999999974</v>
      </c>
      <c r="GG31" s="507"/>
      <c r="GH31" s="507"/>
      <c r="GI31" s="493"/>
      <c r="GJ31" s="506">
        <f>IF(GJ30=0,0,GJ30/GJ25)</f>
        <v>3327522.7509999997</v>
      </c>
      <c r="GK31" s="507"/>
      <c r="GL31" s="507"/>
      <c r="GM31" s="493"/>
      <c r="GN31" s="506">
        <f>IF(GN30=0,0,GN30/GN25)</f>
        <v>49785.578999999998</v>
      </c>
      <c r="GO31" s="507"/>
      <c r="GP31" s="507"/>
      <c r="GQ31" s="493"/>
      <c r="GR31" s="506">
        <f>IF(GR30=0,0,GR30/GR25)</f>
        <v>175606.19100000002</v>
      </c>
      <c r="GS31" s="507"/>
      <c r="GT31" s="507"/>
      <c r="GU31" s="493"/>
      <c r="GV31" s="506">
        <f>IF(GV30=0,0,GV30/GV25)</f>
        <v>3686809.0689999992</v>
      </c>
      <c r="GW31" s="507"/>
      <c r="GX31" s="507"/>
      <c r="GY31" s="493"/>
      <c r="GZ31" s="506">
        <f>IF(GZ30=0,0,GZ30/GZ25)</f>
        <v>8028047.6510000005</v>
      </c>
      <c r="HA31" s="507"/>
      <c r="HB31" s="507"/>
      <c r="HC31" s="493"/>
      <c r="HD31" s="919">
        <f>IF(HD30=0,0,HD30/HD25)</f>
        <v>-53183.1</v>
      </c>
      <c r="HE31" s="909"/>
      <c r="HF31" s="909"/>
      <c r="HG31" s="918"/>
      <c r="HH31" s="919">
        <f>IF(HH30=0,0,HH30/HH25)</f>
        <v>129756.4</v>
      </c>
      <c r="HI31" s="909"/>
      <c r="HJ31" s="909"/>
      <c r="HK31" s="918"/>
      <c r="HL31" s="919">
        <f>IF(HL30=0,0,HL30/HL25)</f>
        <v>440096.3</v>
      </c>
      <c r="HM31" s="909"/>
      <c r="HN31" s="909"/>
      <c r="HO31" s="918"/>
      <c r="HP31" s="919">
        <f>IF(HP30=0,0,HP30/HP25)</f>
        <v>94657.993999999992</v>
      </c>
      <c r="HQ31" s="909"/>
      <c r="HR31" s="909"/>
      <c r="HS31" s="918"/>
      <c r="HT31" s="919">
        <f>IF(HT30=0,0,HT30/HT25)</f>
        <v>39019.5</v>
      </c>
      <c r="HU31" s="909"/>
      <c r="HV31" s="909"/>
      <c r="HW31" s="918"/>
      <c r="HY31" s="506">
        <f>IF(HY30=0,0,HY30/HY25)</f>
        <v>0</v>
      </c>
      <c r="HZ31" s="507"/>
      <c r="IA31" s="507"/>
      <c r="IB31" s="493"/>
      <c r="IC31" s="506">
        <f>IF(IC30=0,0,IC30/IC25)</f>
        <v>1159350</v>
      </c>
      <c r="ID31" s="507"/>
      <c r="IE31" s="507"/>
      <c r="IF31" s="493"/>
      <c r="IG31" s="506">
        <f>IF(IG30=0,0,IG30/IG25)</f>
        <v>0</v>
      </c>
      <c r="IH31" s="507"/>
      <c r="II31" s="507"/>
      <c r="IJ31" s="493"/>
    </row>
    <row r="32" spans="1:244" s="483" customFormat="1">
      <c r="A32" s="502" t="s">
        <v>499</v>
      </c>
      <c r="B32" s="625"/>
      <c r="C32" s="562">
        <v>9</v>
      </c>
      <c r="D32" s="563" t="s">
        <v>222</v>
      </c>
      <c r="E32" s="507"/>
      <c r="F32" s="493"/>
      <c r="G32" s="562">
        <v>6</v>
      </c>
      <c r="H32" s="507"/>
      <c r="I32" s="507"/>
      <c r="J32" s="493"/>
      <c r="K32" s="562">
        <v>9</v>
      </c>
      <c r="L32" s="563" t="s">
        <v>222</v>
      </c>
      <c r="M32" s="507"/>
      <c r="N32" s="493"/>
      <c r="O32" s="562">
        <v>10</v>
      </c>
      <c r="P32" s="563" t="s">
        <v>222</v>
      </c>
      <c r="Q32" s="507"/>
      <c r="R32" s="493"/>
      <c r="S32" s="1443">
        <v>2</v>
      </c>
      <c r="T32" s="507" t="s">
        <v>222</v>
      </c>
      <c r="U32" s="507"/>
      <c r="V32" s="493"/>
      <c r="W32" s="1443">
        <v>10</v>
      </c>
      <c r="X32" s="507" t="s">
        <v>222</v>
      </c>
      <c r="Y32" s="507"/>
      <c r="Z32" s="493"/>
      <c r="AA32" s="1443">
        <v>11</v>
      </c>
      <c r="AB32" s="507" t="s">
        <v>222</v>
      </c>
      <c r="AC32" s="507"/>
      <c r="AD32" s="493"/>
      <c r="AE32" s="1443">
        <v>6</v>
      </c>
      <c r="AF32" s="507" t="s">
        <v>222</v>
      </c>
      <c r="AG32" s="507"/>
      <c r="AH32" s="493"/>
      <c r="AI32" s="1443">
        <v>10</v>
      </c>
      <c r="AJ32" s="507" t="s">
        <v>222</v>
      </c>
      <c r="AK32" s="507"/>
      <c r="AL32" s="493"/>
      <c r="AM32" s="1443">
        <v>6</v>
      </c>
      <c r="AN32" s="507" t="s">
        <v>222</v>
      </c>
      <c r="AO32" s="507"/>
      <c r="AP32" s="493"/>
      <c r="AQ32" s="1443">
        <v>9</v>
      </c>
      <c r="AR32" s="507" t="s">
        <v>222</v>
      </c>
      <c r="AS32" s="507"/>
      <c r="AT32" s="493"/>
      <c r="AU32" s="506">
        <v>10</v>
      </c>
      <c r="AV32" s="507"/>
      <c r="AW32" s="507"/>
      <c r="AX32" s="493"/>
      <c r="AY32" s="506">
        <v>2</v>
      </c>
      <c r="AZ32" s="507"/>
      <c r="BA32" s="507"/>
      <c r="BB32" s="493"/>
      <c r="BC32" s="506">
        <v>4</v>
      </c>
      <c r="BD32" s="507"/>
      <c r="BE32" s="507"/>
      <c r="BF32" s="493"/>
      <c r="BG32" s="506">
        <v>11</v>
      </c>
      <c r="BH32" s="507"/>
      <c r="BI32" s="507"/>
      <c r="BJ32" s="493"/>
      <c r="BK32" s="506">
        <v>8</v>
      </c>
      <c r="BL32" s="507"/>
      <c r="BM32" s="507"/>
      <c r="BN32" s="493"/>
      <c r="BO32" s="506">
        <v>9</v>
      </c>
      <c r="BP32" s="507"/>
      <c r="BQ32" s="507"/>
      <c r="BR32" s="493"/>
      <c r="BS32" s="1443">
        <v>12</v>
      </c>
      <c r="BT32" s="507" t="s">
        <v>222</v>
      </c>
      <c r="BU32" s="507"/>
      <c r="BV32" s="493"/>
      <c r="BW32" s="1443">
        <v>6</v>
      </c>
      <c r="BX32" s="507" t="s">
        <v>222</v>
      </c>
      <c r="BY32" s="507"/>
      <c r="BZ32" s="493"/>
      <c r="CA32" s="1443">
        <v>7</v>
      </c>
      <c r="CB32" s="507" t="s">
        <v>222</v>
      </c>
      <c r="CC32" s="507"/>
      <c r="CD32" s="493"/>
      <c r="CE32" s="1443">
        <v>3</v>
      </c>
      <c r="CF32" s="507" t="s">
        <v>222</v>
      </c>
      <c r="CG32" s="507"/>
      <c r="CH32" s="493"/>
      <c r="CI32" s="1443">
        <v>2</v>
      </c>
      <c r="CJ32" s="507" t="s">
        <v>222</v>
      </c>
      <c r="CK32" s="507"/>
      <c r="CL32" s="493"/>
      <c r="CM32" s="1443">
        <v>9</v>
      </c>
      <c r="CN32" s="507" t="s">
        <v>222</v>
      </c>
      <c r="CO32" s="507"/>
      <c r="CP32" s="493"/>
      <c r="CQ32" s="1443">
        <v>9</v>
      </c>
      <c r="CR32" s="507" t="s">
        <v>222</v>
      </c>
      <c r="CS32" s="507"/>
      <c r="CT32" s="493"/>
      <c r="CU32" s="506">
        <v>12</v>
      </c>
      <c r="CV32" s="507" t="s">
        <v>222</v>
      </c>
      <c r="CW32" s="507"/>
      <c r="CX32" s="493"/>
      <c r="CY32" s="506">
        <v>6</v>
      </c>
      <c r="CZ32" s="507" t="s">
        <v>222</v>
      </c>
      <c r="DA32" s="507"/>
      <c r="DB32" s="493"/>
      <c r="DC32" s="506">
        <v>3</v>
      </c>
      <c r="DD32" s="507" t="s">
        <v>222</v>
      </c>
      <c r="DE32" s="507"/>
      <c r="DF32" s="493"/>
      <c r="DG32" s="506">
        <v>6</v>
      </c>
      <c r="DH32" s="507" t="s">
        <v>222</v>
      </c>
      <c r="DI32" s="507"/>
      <c r="DJ32" s="493"/>
      <c r="DK32" s="1443">
        <v>2</v>
      </c>
      <c r="DL32" s="507" t="s">
        <v>222</v>
      </c>
      <c r="DM32" s="507"/>
      <c r="DN32" s="493"/>
      <c r="DO32" s="1443">
        <v>2</v>
      </c>
      <c r="DP32" s="507" t="s">
        <v>222</v>
      </c>
      <c r="DQ32" s="507"/>
      <c r="DR32" s="493"/>
      <c r="DS32" s="1443">
        <v>6</v>
      </c>
      <c r="DT32" s="507" t="s">
        <v>222</v>
      </c>
      <c r="DU32" s="507"/>
      <c r="DV32" s="493"/>
      <c r="DW32" s="1443">
        <v>3</v>
      </c>
      <c r="DX32" s="507" t="s">
        <v>222</v>
      </c>
      <c r="DY32" s="507"/>
      <c r="DZ32" s="493"/>
      <c r="EA32" s="1443">
        <v>11</v>
      </c>
      <c r="EB32" s="507" t="s">
        <v>222</v>
      </c>
      <c r="EC32" s="507"/>
      <c r="ED32" s="493"/>
      <c r="EE32" s="1443">
        <v>5</v>
      </c>
      <c r="EF32" s="507" t="s">
        <v>222</v>
      </c>
      <c r="EG32" s="507"/>
      <c r="EH32" s="493"/>
      <c r="EI32" s="1443">
        <v>10</v>
      </c>
      <c r="EJ32" s="507" t="s">
        <v>222</v>
      </c>
      <c r="EK32" s="507"/>
      <c r="EL32" s="493"/>
      <c r="EM32" s="1443">
        <v>12</v>
      </c>
      <c r="EN32" s="507" t="s">
        <v>222</v>
      </c>
      <c r="EO32" s="507"/>
      <c r="EP32" s="493"/>
      <c r="EQ32" s="1443">
        <v>6</v>
      </c>
      <c r="ER32" s="507" t="s">
        <v>222</v>
      </c>
      <c r="ES32" s="507"/>
      <c r="ET32" s="493"/>
      <c r="EU32" s="1443">
        <v>6</v>
      </c>
      <c r="EV32" s="507" t="s">
        <v>222</v>
      </c>
      <c r="EW32" s="507"/>
      <c r="EX32" s="493"/>
      <c r="EY32" s="564"/>
      <c r="FD32" s="506">
        <v>2</v>
      </c>
      <c r="FE32" s="507" t="s">
        <v>222</v>
      </c>
      <c r="FF32" s="507"/>
      <c r="FG32" s="493"/>
      <c r="FH32" s="506">
        <v>12</v>
      </c>
      <c r="FI32" s="507" t="s">
        <v>222</v>
      </c>
      <c r="FJ32" s="507"/>
      <c r="FK32" s="493"/>
      <c r="FL32" s="506">
        <v>11</v>
      </c>
      <c r="FM32" s="507" t="s">
        <v>222</v>
      </c>
      <c r="FN32" s="507"/>
      <c r="FO32" s="493"/>
      <c r="FP32" s="506">
        <v>12</v>
      </c>
      <c r="FQ32" s="507" t="s">
        <v>222</v>
      </c>
      <c r="FR32" s="507"/>
      <c r="FS32" s="493"/>
      <c r="FT32" s="506">
        <v>2</v>
      </c>
      <c r="FU32" s="507" t="s">
        <v>222</v>
      </c>
      <c r="FV32" s="507"/>
      <c r="FW32" s="493"/>
      <c r="FX32" s="506">
        <v>3</v>
      </c>
      <c r="FY32" s="507" t="s">
        <v>222</v>
      </c>
      <c r="FZ32" s="507"/>
      <c r="GA32" s="493"/>
      <c r="GB32" s="506">
        <v>7</v>
      </c>
      <c r="GC32" s="507" t="s">
        <v>222</v>
      </c>
      <c r="GD32" s="507"/>
      <c r="GE32" s="493"/>
      <c r="GF32" s="506">
        <v>7</v>
      </c>
      <c r="GG32" s="507" t="s">
        <v>222</v>
      </c>
      <c r="GH32" s="507"/>
      <c r="GI32" s="493"/>
      <c r="GJ32" s="506">
        <v>10</v>
      </c>
      <c r="GK32" s="507" t="s">
        <v>222</v>
      </c>
      <c r="GL32" s="507"/>
      <c r="GM32" s="493"/>
      <c r="GN32" s="506">
        <v>11</v>
      </c>
      <c r="GO32" s="507" t="s">
        <v>222</v>
      </c>
      <c r="GP32" s="507"/>
      <c r="GQ32" s="493"/>
      <c r="GR32" s="506">
        <v>6</v>
      </c>
      <c r="GS32" s="507" t="s">
        <v>222</v>
      </c>
      <c r="GT32" s="507"/>
      <c r="GU32" s="493"/>
      <c r="GV32" s="506">
        <v>5</v>
      </c>
      <c r="GW32" s="507" t="s">
        <v>222</v>
      </c>
      <c r="GX32" s="507"/>
      <c r="GY32" s="493"/>
      <c r="GZ32" s="506">
        <v>8</v>
      </c>
      <c r="HA32" s="507" t="s">
        <v>222</v>
      </c>
      <c r="HB32" s="507"/>
      <c r="HC32" s="493"/>
      <c r="HD32" s="919">
        <v>1</v>
      </c>
      <c r="HE32" s="909" t="s">
        <v>222</v>
      </c>
      <c r="HF32" s="909"/>
      <c r="HG32" s="918"/>
      <c r="HH32" s="919">
        <v>4</v>
      </c>
      <c r="HI32" s="909" t="s">
        <v>222</v>
      </c>
      <c r="HJ32" s="909"/>
      <c r="HK32" s="918"/>
      <c r="HL32" s="919">
        <v>1</v>
      </c>
      <c r="HM32" s="909" t="s">
        <v>222</v>
      </c>
      <c r="HN32" s="909"/>
      <c r="HO32" s="918"/>
      <c r="HP32" s="919">
        <v>7</v>
      </c>
      <c r="HQ32" s="909" t="s">
        <v>222</v>
      </c>
      <c r="HR32" s="909"/>
      <c r="HS32" s="918"/>
      <c r="HT32" s="919">
        <v>8</v>
      </c>
      <c r="HU32" s="909" t="s">
        <v>222</v>
      </c>
      <c r="HV32" s="909"/>
      <c r="HW32" s="918"/>
      <c r="HY32" s="506"/>
      <c r="HZ32" s="507"/>
      <c r="IA32" s="507"/>
      <c r="IB32" s="493"/>
      <c r="IC32" s="506">
        <v>0</v>
      </c>
      <c r="ID32" s="507"/>
      <c r="IE32" s="507"/>
      <c r="IF32" s="493"/>
      <c r="IG32" s="506">
        <v>0</v>
      </c>
      <c r="IH32" s="507"/>
      <c r="II32" s="507"/>
      <c r="IJ32" s="493"/>
    </row>
    <row r="33" spans="1:244" ht="13" thickBot="1">
      <c r="A33" s="565"/>
      <c r="B33" s="566"/>
      <c r="C33" s="567"/>
      <c r="D33" s="568"/>
      <c r="E33" s="568"/>
      <c r="F33" s="569"/>
      <c r="G33" s="567"/>
      <c r="H33" s="568"/>
      <c r="I33" s="568"/>
      <c r="J33" s="569"/>
      <c r="K33" s="567"/>
      <c r="L33" s="568"/>
      <c r="M33" s="568"/>
      <c r="N33" s="569"/>
      <c r="O33" s="567"/>
      <c r="P33" s="568"/>
      <c r="Q33" s="568"/>
      <c r="R33" s="569"/>
      <c r="S33" s="508"/>
      <c r="T33" s="509"/>
      <c r="U33" s="509"/>
      <c r="V33" s="510"/>
      <c r="W33" s="508"/>
      <c r="X33" s="509"/>
      <c r="Y33" s="509"/>
      <c r="Z33" s="510"/>
      <c r="AA33" s="508"/>
      <c r="AB33" s="509"/>
      <c r="AC33" s="509"/>
      <c r="AD33" s="510"/>
      <c r="AE33" s="508"/>
      <c r="AF33" s="509"/>
      <c r="AG33" s="509"/>
      <c r="AH33" s="510"/>
      <c r="AI33" s="508"/>
      <c r="AJ33" s="509"/>
      <c r="AK33" s="509"/>
      <c r="AL33" s="510"/>
      <c r="AM33" s="508"/>
      <c r="AN33" s="509"/>
      <c r="AO33" s="509"/>
      <c r="AP33" s="510"/>
      <c r="AQ33" s="508"/>
      <c r="AR33" s="509"/>
      <c r="AS33" s="509"/>
      <c r="AT33" s="510"/>
      <c r="AU33" s="567"/>
      <c r="AV33" s="568"/>
      <c r="AW33" s="568"/>
      <c r="AX33" s="569"/>
      <c r="AY33" s="567"/>
      <c r="AZ33" s="568"/>
      <c r="BA33" s="568"/>
      <c r="BB33" s="569"/>
      <c r="BC33" s="567"/>
      <c r="BD33" s="568"/>
      <c r="BE33" s="568"/>
      <c r="BF33" s="569"/>
      <c r="BG33" s="567"/>
      <c r="BH33" s="568"/>
      <c r="BI33" s="568"/>
      <c r="BJ33" s="569"/>
      <c r="BK33" s="567"/>
      <c r="BL33" s="568"/>
      <c r="BM33" s="568"/>
      <c r="BN33" s="569"/>
      <c r="BO33" s="567"/>
      <c r="BP33" s="568"/>
      <c r="BQ33" s="568"/>
      <c r="BR33" s="569"/>
      <c r="BS33" s="508"/>
      <c r="BT33" s="509"/>
      <c r="BU33" s="509"/>
      <c r="BV33" s="510"/>
      <c r="BW33" s="508"/>
      <c r="BX33" s="509"/>
      <c r="BY33" s="509"/>
      <c r="BZ33" s="510"/>
      <c r="CA33" s="508"/>
      <c r="CB33" s="509"/>
      <c r="CC33" s="509"/>
      <c r="CD33" s="510"/>
      <c r="CE33" s="508"/>
      <c r="CF33" s="509"/>
      <c r="CG33" s="509"/>
      <c r="CH33" s="510"/>
      <c r="CI33" s="508"/>
      <c r="CJ33" s="509"/>
      <c r="CK33" s="509"/>
      <c r="CL33" s="510"/>
      <c r="CM33" s="508"/>
      <c r="CN33" s="509"/>
      <c r="CO33" s="509"/>
      <c r="CP33" s="510"/>
      <c r="CQ33" s="508"/>
      <c r="CR33" s="509"/>
      <c r="CS33" s="509"/>
      <c r="CT33" s="510"/>
      <c r="CU33" s="508"/>
      <c r="CV33" s="509"/>
      <c r="CW33" s="509"/>
      <c r="CX33" s="510"/>
      <c r="CY33" s="508"/>
      <c r="CZ33" s="509"/>
      <c r="DA33" s="509"/>
      <c r="DB33" s="510"/>
      <c r="DC33" s="508"/>
      <c r="DD33" s="509"/>
      <c r="DE33" s="509"/>
      <c r="DF33" s="510"/>
      <c r="DG33" s="508"/>
      <c r="DH33" s="509"/>
      <c r="DI33" s="509"/>
      <c r="DJ33" s="510"/>
      <c r="DK33" s="508"/>
      <c r="DL33" s="509"/>
      <c r="DM33" s="509"/>
      <c r="DN33" s="510"/>
      <c r="DO33" s="508"/>
      <c r="DP33" s="509"/>
      <c r="DQ33" s="509"/>
      <c r="DR33" s="510"/>
      <c r="DS33" s="508"/>
      <c r="DT33" s="509"/>
      <c r="DU33" s="509"/>
      <c r="DV33" s="510"/>
      <c r="DW33" s="508"/>
      <c r="DX33" s="509"/>
      <c r="DY33" s="509"/>
      <c r="DZ33" s="510"/>
      <c r="EA33" s="508"/>
      <c r="EB33" s="509"/>
      <c r="EC33" s="509"/>
      <c r="ED33" s="510"/>
      <c r="EE33" s="508"/>
      <c r="EF33" s="509"/>
      <c r="EG33" s="509"/>
      <c r="EH33" s="510"/>
      <c r="EI33" s="508"/>
      <c r="EJ33" s="509"/>
      <c r="EK33" s="509"/>
      <c r="EL33" s="510"/>
      <c r="EM33" s="508"/>
      <c r="EN33" s="509"/>
      <c r="EO33" s="509"/>
      <c r="EP33" s="510"/>
      <c r="EQ33" s="508"/>
      <c r="ER33" s="509"/>
      <c r="ES33" s="509"/>
      <c r="ET33" s="510"/>
      <c r="EU33" s="508"/>
      <c r="EV33" s="509"/>
      <c r="EW33" s="509"/>
      <c r="EX33" s="510"/>
      <c r="EY33" s="570"/>
      <c r="FD33" s="508"/>
      <c r="FE33" s="509"/>
      <c r="FF33" s="509"/>
      <c r="FG33" s="510"/>
      <c r="FH33" s="508"/>
      <c r="FI33" s="509"/>
      <c r="FJ33" s="509"/>
      <c r="FK33" s="510"/>
      <c r="FL33" s="508"/>
      <c r="FM33" s="509"/>
      <c r="FN33" s="509"/>
      <c r="FO33" s="510"/>
      <c r="FP33" s="508"/>
      <c r="FQ33" s="509"/>
      <c r="FR33" s="509"/>
      <c r="FS33" s="510"/>
      <c r="FT33" s="508"/>
      <c r="FU33" s="509"/>
      <c r="FV33" s="509"/>
      <c r="FW33" s="510"/>
      <c r="FX33" s="508"/>
      <c r="FY33" s="509"/>
      <c r="FZ33" s="509"/>
      <c r="GA33" s="510"/>
      <c r="GB33" s="508"/>
      <c r="GC33" s="509"/>
      <c r="GD33" s="509"/>
      <c r="GE33" s="510"/>
      <c r="GF33" s="508"/>
      <c r="GG33" s="509"/>
      <c r="GH33" s="509"/>
      <c r="GI33" s="510"/>
      <c r="GJ33" s="508"/>
      <c r="GK33" s="509"/>
      <c r="GL33" s="509"/>
      <c r="GM33" s="510"/>
      <c r="GN33" s="508"/>
      <c r="GO33" s="509"/>
      <c r="GP33" s="509"/>
      <c r="GQ33" s="510"/>
      <c r="GR33" s="508"/>
      <c r="GS33" s="509"/>
      <c r="GT33" s="509"/>
      <c r="GU33" s="510"/>
      <c r="GV33" s="508"/>
      <c r="GW33" s="509"/>
      <c r="GX33" s="509"/>
      <c r="GY33" s="510"/>
      <c r="GZ33" s="508"/>
      <c r="HA33" s="509"/>
      <c r="HB33" s="509"/>
      <c r="HC33" s="510"/>
      <c r="HD33" s="920"/>
      <c r="HE33" s="921"/>
      <c r="HF33" s="921"/>
      <c r="HG33" s="922"/>
      <c r="HH33" s="920"/>
      <c r="HI33" s="921"/>
      <c r="HJ33" s="921"/>
      <c r="HK33" s="922"/>
      <c r="HL33" s="920"/>
      <c r="HM33" s="921"/>
      <c r="HN33" s="921"/>
      <c r="HO33" s="922"/>
      <c r="HP33" s="920"/>
      <c r="HQ33" s="921"/>
      <c r="HR33" s="921"/>
      <c r="HS33" s="922"/>
      <c r="HT33" s="920"/>
      <c r="HU33" s="921"/>
      <c r="HV33" s="921"/>
      <c r="HW33" s="922"/>
      <c r="HY33" s="508"/>
      <c r="HZ33" s="509"/>
      <c r="IA33" s="509"/>
      <c r="IB33" s="510"/>
      <c r="IC33" s="508"/>
      <c r="ID33" s="509"/>
      <c r="IE33" s="509"/>
      <c r="IF33" s="510"/>
      <c r="IG33" s="508"/>
      <c r="IH33" s="509"/>
      <c r="II33" s="509"/>
      <c r="IJ33" s="510"/>
    </row>
    <row r="34" spans="1:244" ht="13">
      <c r="A34" s="543"/>
      <c r="B34" s="571" t="s">
        <v>390</v>
      </c>
      <c r="C34" s="544" t="s">
        <v>409</v>
      </c>
      <c r="D34" s="544" t="s">
        <v>758</v>
      </c>
      <c r="E34" s="544" t="s">
        <v>411</v>
      </c>
      <c r="F34" s="572" t="s">
        <v>408</v>
      </c>
      <c r="G34" s="544" t="s">
        <v>409</v>
      </c>
      <c r="H34" s="544" t="s">
        <v>758</v>
      </c>
      <c r="I34" s="544" t="s">
        <v>411</v>
      </c>
      <c r="J34" s="545" t="s">
        <v>408</v>
      </c>
      <c r="K34" s="544" t="s">
        <v>409</v>
      </c>
      <c r="L34" s="544" t="s">
        <v>758</v>
      </c>
      <c r="M34" s="544" t="s">
        <v>411</v>
      </c>
      <c r="N34" s="545" t="s">
        <v>408</v>
      </c>
      <c r="O34" s="627" t="s">
        <v>409</v>
      </c>
      <c r="P34" s="544" t="s">
        <v>758</v>
      </c>
      <c r="Q34" s="544" t="s">
        <v>411</v>
      </c>
      <c r="R34" s="545" t="s">
        <v>408</v>
      </c>
      <c r="S34" s="629" t="s">
        <v>409</v>
      </c>
      <c r="T34" s="544" t="s">
        <v>758</v>
      </c>
      <c r="U34" s="504" t="s">
        <v>411</v>
      </c>
      <c r="V34" s="511" t="s">
        <v>408</v>
      </c>
      <c r="W34" s="629" t="s">
        <v>409</v>
      </c>
      <c r="X34" s="544" t="s">
        <v>758</v>
      </c>
      <c r="Y34" s="504" t="s">
        <v>411</v>
      </c>
      <c r="Z34" s="511" t="s">
        <v>408</v>
      </c>
      <c r="AA34" s="629" t="s">
        <v>409</v>
      </c>
      <c r="AB34" s="544" t="s">
        <v>758</v>
      </c>
      <c r="AC34" s="504" t="s">
        <v>411</v>
      </c>
      <c r="AD34" s="511" t="s">
        <v>408</v>
      </c>
      <c r="AE34" s="629" t="s">
        <v>409</v>
      </c>
      <c r="AF34" s="544" t="s">
        <v>758</v>
      </c>
      <c r="AG34" s="504" t="s">
        <v>411</v>
      </c>
      <c r="AH34" s="511" t="s">
        <v>408</v>
      </c>
      <c r="AI34" s="629" t="s">
        <v>409</v>
      </c>
      <c r="AJ34" s="544" t="s">
        <v>758</v>
      </c>
      <c r="AK34" s="504" t="s">
        <v>411</v>
      </c>
      <c r="AL34" s="511" t="s">
        <v>408</v>
      </c>
      <c r="AM34" s="629" t="s">
        <v>409</v>
      </c>
      <c r="AN34" s="544" t="s">
        <v>758</v>
      </c>
      <c r="AO34" s="504" t="s">
        <v>411</v>
      </c>
      <c r="AP34" s="511" t="s">
        <v>408</v>
      </c>
      <c r="AQ34" s="629" t="s">
        <v>409</v>
      </c>
      <c r="AR34" s="544" t="s">
        <v>758</v>
      </c>
      <c r="AS34" s="504" t="s">
        <v>411</v>
      </c>
      <c r="AT34" s="511" t="s">
        <v>408</v>
      </c>
      <c r="AU34" s="627" t="s">
        <v>409</v>
      </c>
      <c r="AV34" s="544" t="s">
        <v>410</v>
      </c>
      <c r="AW34" s="544" t="s">
        <v>411</v>
      </c>
      <c r="AX34" s="545" t="s">
        <v>408</v>
      </c>
      <c r="AY34" s="627" t="s">
        <v>409</v>
      </c>
      <c r="AZ34" s="544" t="s">
        <v>410</v>
      </c>
      <c r="BA34" s="544" t="s">
        <v>411</v>
      </c>
      <c r="BB34" s="545" t="s">
        <v>408</v>
      </c>
      <c r="BC34" s="627" t="s">
        <v>409</v>
      </c>
      <c r="BD34" s="544" t="s">
        <v>410</v>
      </c>
      <c r="BE34" s="544" t="s">
        <v>411</v>
      </c>
      <c r="BF34" s="545" t="s">
        <v>408</v>
      </c>
      <c r="BG34" s="627" t="s">
        <v>409</v>
      </c>
      <c r="BH34" s="544" t="s">
        <v>410</v>
      </c>
      <c r="BI34" s="544" t="s">
        <v>411</v>
      </c>
      <c r="BJ34" s="545" t="s">
        <v>408</v>
      </c>
      <c r="BK34" s="627" t="s">
        <v>409</v>
      </c>
      <c r="BL34" s="544" t="s">
        <v>410</v>
      </c>
      <c r="BM34" s="544" t="s">
        <v>411</v>
      </c>
      <c r="BN34" s="545" t="s">
        <v>408</v>
      </c>
      <c r="BO34" s="627" t="s">
        <v>409</v>
      </c>
      <c r="BP34" s="544" t="s">
        <v>410</v>
      </c>
      <c r="BQ34" s="544" t="s">
        <v>411</v>
      </c>
      <c r="BR34" s="545" t="s">
        <v>408</v>
      </c>
      <c r="BS34" s="629" t="s">
        <v>409</v>
      </c>
      <c r="BT34" s="544" t="s">
        <v>758</v>
      </c>
      <c r="BU34" s="504" t="s">
        <v>411</v>
      </c>
      <c r="BV34" s="511" t="s">
        <v>408</v>
      </c>
      <c r="BW34" s="629" t="s">
        <v>409</v>
      </c>
      <c r="BX34" s="544" t="s">
        <v>758</v>
      </c>
      <c r="BY34" s="504" t="s">
        <v>411</v>
      </c>
      <c r="BZ34" s="511" t="s">
        <v>408</v>
      </c>
      <c r="CA34" s="629" t="s">
        <v>409</v>
      </c>
      <c r="CB34" s="544" t="s">
        <v>758</v>
      </c>
      <c r="CC34" s="504" t="s">
        <v>411</v>
      </c>
      <c r="CD34" s="511" t="s">
        <v>408</v>
      </c>
      <c r="CE34" s="629" t="s">
        <v>409</v>
      </c>
      <c r="CF34" s="544" t="s">
        <v>758</v>
      </c>
      <c r="CG34" s="504" t="s">
        <v>411</v>
      </c>
      <c r="CH34" s="511" t="s">
        <v>408</v>
      </c>
      <c r="CI34" s="629" t="s">
        <v>409</v>
      </c>
      <c r="CJ34" s="544" t="s">
        <v>758</v>
      </c>
      <c r="CK34" s="504" t="s">
        <v>411</v>
      </c>
      <c r="CL34" s="511" t="s">
        <v>408</v>
      </c>
      <c r="CM34" s="775" t="s">
        <v>409</v>
      </c>
      <c r="CN34" s="544" t="s">
        <v>758</v>
      </c>
      <c r="CO34" s="504" t="s">
        <v>411</v>
      </c>
      <c r="CP34" s="511" t="s">
        <v>408</v>
      </c>
      <c r="CQ34" s="775" t="s">
        <v>409</v>
      </c>
      <c r="CR34" s="544" t="s">
        <v>758</v>
      </c>
      <c r="CS34" s="504" t="s">
        <v>411</v>
      </c>
      <c r="CT34" s="511" t="s">
        <v>408</v>
      </c>
      <c r="CU34" s="775" t="s">
        <v>409</v>
      </c>
      <c r="CV34" s="544" t="s">
        <v>758</v>
      </c>
      <c r="CW34" s="504" t="s">
        <v>411</v>
      </c>
      <c r="CX34" s="511" t="s">
        <v>408</v>
      </c>
      <c r="CY34" s="790" t="s">
        <v>409</v>
      </c>
      <c r="CZ34" s="544" t="s">
        <v>758</v>
      </c>
      <c r="DA34" s="504" t="s">
        <v>411</v>
      </c>
      <c r="DB34" s="511" t="s">
        <v>408</v>
      </c>
      <c r="DC34" s="790" t="s">
        <v>409</v>
      </c>
      <c r="DD34" s="544" t="s">
        <v>758</v>
      </c>
      <c r="DE34" s="504" t="s">
        <v>411</v>
      </c>
      <c r="DF34" s="511" t="s">
        <v>408</v>
      </c>
      <c r="DG34" s="790" t="s">
        <v>409</v>
      </c>
      <c r="DH34" s="544" t="s">
        <v>758</v>
      </c>
      <c r="DI34" s="504" t="s">
        <v>411</v>
      </c>
      <c r="DJ34" s="511" t="s">
        <v>408</v>
      </c>
      <c r="DK34" s="790" t="s">
        <v>409</v>
      </c>
      <c r="DL34" s="544" t="s">
        <v>758</v>
      </c>
      <c r="DM34" s="504" t="s">
        <v>411</v>
      </c>
      <c r="DN34" s="511" t="s">
        <v>408</v>
      </c>
      <c r="DO34" s="810" t="s">
        <v>409</v>
      </c>
      <c r="DP34" s="544" t="s">
        <v>758</v>
      </c>
      <c r="DQ34" s="504" t="s">
        <v>411</v>
      </c>
      <c r="DR34" s="511" t="s">
        <v>408</v>
      </c>
      <c r="DS34" s="810" t="s">
        <v>409</v>
      </c>
      <c r="DT34" s="544" t="s">
        <v>758</v>
      </c>
      <c r="DU34" s="504" t="s">
        <v>411</v>
      </c>
      <c r="DV34" s="511" t="s">
        <v>408</v>
      </c>
      <c r="DW34" s="810" t="s">
        <v>409</v>
      </c>
      <c r="DX34" s="544" t="s">
        <v>758</v>
      </c>
      <c r="DY34" s="504" t="s">
        <v>411</v>
      </c>
      <c r="DZ34" s="511" t="s">
        <v>408</v>
      </c>
      <c r="EA34" s="810" t="s">
        <v>409</v>
      </c>
      <c r="EB34" s="544" t="s">
        <v>758</v>
      </c>
      <c r="EC34" s="504" t="s">
        <v>411</v>
      </c>
      <c r="ED34" s="511" t="s">
        <v>408</v>
      </c>
      <c r="EE34" s="1440" t="s">
        <v>409</v>
      </c>
      <c r="EF34" s="544" t="s">
        <v>758</v>
      </c>
      <c r="EG34" s="504" t="s">
        <v>411</v>
      </c>
      <c r="EH34" s="511" t="s">
        <v>408</v>
      </c>
      <c r="EI34" s="1440" t="s">
        <v>409</v>
      </c>
      <c r="EJ34" s="544" t="s">
        <v>758</v>
      </c>
      <c r="EK34" s="504" t="s">
        <v>411</v>
      </c>
      <c r="EL34" s="511" t="s">
        <v>408</v>
      </c>
      <c r="EM34" s="1440" t="s">
        <v>409</v>
      </c>
      <c r="EN34" s="544" t="s">
        <v>758</v>
      </c>
      <c r="EO34" s="504" t="s">
        <v>411</v>
      </c>
      <c r="EP34" s="511" t="s">
        <v>408</v>
      </c>
      <c r="EQ34" s="1479" t="s">
        <v>409</v>
      </c>
      <c r="ER34" s="544" t="s">
        <v>758</v>
      </c>
      <c r="ES34" s="504" t="s">
        <v>411</v>
      </c>
      <c r="ET34" s="511" t="s">
        <v>408</v>
      </c>
      <c r="EU34" s="1479" t="s">
        <v>409</v>
      </c>
      <c r="EV34" s="544" t="s">
        <v>758</v>
      </c>
      <c r="EW34" s="504" t="s">
        <v>411</v>
      </c>
      <c r="EX34" s="511" t="s">
        <v>408</v>
      </c>
      <c r="EY34" s="573" t="s">
        <v>292</v>
      </c>
      <c r="EZ34" s="504" t="s">
        <v>422</v>
      </c>
      <c r="FA34" s="511" t="s">
        <v>423</v>
      </c>
      <c r="FD34" s="629" t="s">
        <v>409</v>
      </c>
      <c r="FE34" s="544" t="s">
        <v>758</v>
      </c>
      <c r="FF34" s="504" t="s">
        <v>411</v>
      </c>
      <c r="FG34" s="511" t="s">
        <v>408</v>
      </c>
      <c r="FH34" s="629" t="s">
        <v>409</v>
      </c>
      <c r="FI34" s="544" t="s">
        <v>758</v>
      </c>
      <c r="FJ34" s="504" t="s">
        <v>411</v>
      </c>
      <c r="FK34" s="511" t="s">
        <v>408</v>
      </c>
      <c r="FL34" s="629" t="s">
        <v>409</v>
      </c>
      <c r="FM34" s="544" t="s">
        <v>758</v>
      </c>
      <c r="FN34" s="504" t="s">
        <v>411</v>
      </c>
      <c r="FO34" s="511" t="s">
        <v>408</v>
      </c>
      <c r="FP34" s="629" t="s">
        <v>409</v>
      </c>
      <c r="FQ34" s="544" t="s">
        <v>758</v>
      </c>
      <c r="FR34" s="504" t="s">
        <v>411</v>
      </c>
      <c r="FS34" s="511" t="s">
        <v>408</v>
      </c>
      <c r="FT34" s="629" t="s">
        <v>409</v>
      </c>
      <c r="FU34" s="544" t="s">
        <v>758</v>
      </c>
      <c r="FV34" s="504" t="s">
        <v>411</v>
      </c>
      <c r="FW34" s="511" t="s">
        <v>408</v>
      </c>
      <c r="FX34" s="629" t="s">
        <v>409</v>
      </c>
      <c r="FY34" s="544" t="s">
        <v>758</v>
      </c>
      <c r="FZ34" s="504" t="s">
        <v>411</v>
      </c>
      <c r="GA34" s="511" t="s">
        <v>408</v>
      </c>
      <c r="GB34" s="755" t="s">
        <v>409</v>
      </c>
      <c r="GC34" s="544" t="s">
        <v>758</v>
      </c>
      <c r="GD34" s="504" t="s">
        <v>411</v>
      </c>
      <c r="GE34" s="511" t="s">
        <v>408</v>
      </c>
      <c r="GF34" s="755" t="s">
        <v>409</v>
      </c>
      <c r="GG34" s="544" t="s">
        <v>758</v>
      </c>
      <c r="GH34" s="504" t="s">
        <v>411</v>
      </c>
      <c r="GI34" s="511" t="s">
        <v>408</v>
      </c>
      <c r="GJ34" s="755" t="s">
        <v>409</v>
      </c>
      <c r="GK34" s="544" t="s">
        <v>758</v>
      </c>
      <c r="GL34" s="504" t="s">
        <v>411</v>
      </c>
      <c r="GM34" s="511" t="s">
        <v>408</v>
      </c>
      <c r="GN34" s="755" t="s">
        <v>409</v>
      </c>
      <c r="GO34" s="544" t="s">
        <v>758</v>
      </c>
      <c r="GP34" s="504" t="s">
        <v>411</v>
      </c>
      <c r="GQ34" s="511" t="s">
        <v>408</v>
      </c>
      <c r="GR34" s="770" t="s">
        <v>409</v>
      </c>
      <c r="GS34" s="544" t="s">
        <v>758</v>
      </c>
      <c r="GT34" s="504" t="s">
        <v>411</v>
      </c>
      <c r="GU34" s="511" t="s">
        <v>408</v>
      </c>
      <c r="GV34" s="784" t="s">
        <v>409</v>
      </c>
      <c r="GW34" s="544" t="s">
        <v>758</v>
      </c>
      <c r="GX34" s="504" t="s">
        <v>411</v>
      </c>
      <c r="GY34" s="511" t="s">
        <v>408</v>
      </c>
      <c r="GZ34" s="803" t="s">
        <v>409</v>
      </c>
      <c r="HA34" s="544" t="s">
        <v>758</v>
      </c>
      <c r="HB34" s="504" t="s">
        <v>411</v>
      </c>
      <c r="HC34" s="511" t="s">
        <v>408</v>
      </c>
      <c r="HD34" s="901" t="s">
        <v>409</v>
      </c>
      <c r="HE34" s="544" t="s">
        <v>758</v>
      </c>
      <c r="HF34" s="544" t="s">
        <v>411</v>
      </c>
      <c r="HG34" s="545" t="s">
        <v>408</v>
      </c>
      <c r="HH34" s="901" t="s">
        <v>409</v>
      </c>
      <c r="HI34" s="544" t="s">
        <v>758</v>
      </c>
      <c r="HJ34" s="544" t="s">
        <v>411</v>
      </c>
      <c r="HK34" s="545" t="s">
        <v>408</v>
      </c>
      <c r="HL34" s="1439" t="s">
        <v>409</v>
      </c>
      <c r="HM34" s="544" t="s">
        <v>758</v>
      </c>
      <c r="HN34" s="544" t="s">
        <v>411</v>
      </c>
      <c r="HO34" s="545" t="s">
        <v>408</v>
      </c>
      <c r="HP34" s="1465" t="s">
        <v>409</v>
      </c>
      <c r="HQ34" s="544" t="s">
        <v>758</v>
      </c>
      <c r="HR34" s="544" t="s">
        <v>411</v>
      </c>
      <c r="HS34" s="545" t="s">
        <v>408</v>
      </c>
      <c r="HT34" s="1485" t="s">
        <v>409</v>
      </c>
      <c r="HU34" s="544" t="s">
        <v>758</v>
      </c>
      <c r="HV34" s="544" t="s">
        <v>411</v>
      </c>
      <c r="HW34" s="545" t="s">
        <v>408</v>
      </c>
      <c r="HY34" s="794" t="s">
        <v>409</v>
      </c>
      <c r="HZ34" s="504" t="s">
        <v>677</v>
      </c>
      <c r="IA34" s="504" t="s">
        <v>411</v>
      </c>
      <c r="IB34" s="511" t="s">
        <v>408</v>
      </c>
      <c r="IC34" s="629" t="s">
        <v>409</v>
      </c>
      <c r="ID34" s="504" t="s">
        <v>677</v>
      </c>
      <c r="IE34" s="504" t="s">
        <v>411</v>
      </c>
      <c r="IF34" s="511" t="s">
        <v>408</v>
      </c>
      <c r="IG34" s="784" t="s">
        <v>409</v>
      </c>
      <c r="IH34" s="504" t="s">
        <v>677</v>
      </c>
      <c r="II34" s="504" t="s">
        <v>411</v>
      </c>
      <c r="IJ34" s="511" t="s">
        <v>408</v>
      </c>
    </row>
    <row r="35" spans="1:244" ht="13">
      <c r="A35" s="554" t="s">
        <v>24</v>
      </c>
      <c r="B35" s="574">
        <v>2004</v>
      </c>
      <c r="C35" s="575"/>
      <c r="D35" s="563"/>
      <c r="E35" s="575"/>
      <c r="F35" s="558"/>
      <c r="G35" s="551"/>
      <c r="H35" s="551"/>
      <c r="I35" s="551"/>
      <c r="J35" s="552"/>
      <c r="K35" s="576"/>
      <c r="L35" s="563"/>
      <c r="M35" s="575"/>
      <c r="N35" s="558"/>
      <c r="O35" s="550"/>
      <c r="P35" s="551"/>
      <c r="Q35" s="551"/>
      <c r="R35" s="552"/>
      <c r="S35" s="512"/>
      <c r="T35" s="513"/>
      <c r="U35" s="513"/>
      <c r="V35" s="514"/>
      <c r="W35" s="512"/>
      <c r="X35" s="513"/>
      <c r="Y35" s="513"/>
      <c r="Z35" s="514"/>
      <c r="AA35" s="512"/>
      <c r="AB35" s="513"/>
      <c r="AC35" s="513"/>
      <c r="AD35" s="514"/>
      <c r="AE35" s="512"/>
      <c r="AF35" s="513"/>
      <c r="AG35" s="513"/>
      <c r="AH35" s="514"/>
      <c r="AI35" s="512"/>
      <c r="AJ35" s="513"/>
      <c r="AK35" s="513"/>
      <c r="AL35" s="514"/>
      <c r="AM35" s="512"/>
      <c r="AN35" s="513"/>
      <c r="AO35" s="513"/>
      <c r="AP35" s="514"/>
      <c r="AQ35" s="512"/>
      <c r="AR35" s="513"/>
      <c r="AS35" s="513"/>
      <c r="AT35" s="514"/>
      <c r="AU35" s="550"/>
      <c r="AV35" s="551"/>
      <c r="AW35" s="551"/>
      <c r="AX35" s="552"/>
      <c r="AY35" s="550"/>
      <c r="AZ35" s="551"/>
      <c r="BA35" s="551"/>
      <c r="BB35" s="552"/>
      <c r="BC35" s="550"/>
      <c r="BD35" s="551"/>
      <c r="BE35" s="551"/>
      <c r="BF35" s="552"/>
      <c r="BG35" s="550"/>
      <c r="BH35" s="551"/>
      <c r="BI35" s="551"/>
      <c r="BJ35" s="552"/>
      <c r="BK35" s="550"/>
      <c r="BL35" s="551"/>
      <c r="BM35" s="551"/>
      <c r="BN35" s="552"/>
      <c r="BO35" s="550"/>
      <c r="BP35" s="551"/>
      <c r="BQ35" s="551"/>
      <c r="BR35" s="552"/>
      <c r="BS35" s="512"/>
      <c r="BT35" s="513"/>
      <c r="BU35" s="513"/>
      <c r="BV35" s="514"/>
      <c r="BW35" s="512"/>
      <c r="BX35" s="513"/>
      <c r="BY35" s="513"/>
      <c r="BZ35" s="514"/>
      <c r="CA35" s="512"/>
      <c r="CB35" s="513"/>
      <c r="CC35" s="513"/>
      <c r="CD35" s="514"/>
      <c r="CE35" s="512"/>
      <c r="CF35" s="513"/>
      <c r="CG35" s="513"/>
      <c r="CH35" s="514"/>
      <c r="CI35" s="512"/>
      <c r="CJ35" s="513"/>
      <c r="CK35" s="513"/>
      <c r="CL35" s="514"/>
      <c r="CM35" s="512"/>
      <c r="CN35" s="513"/>
      <c r="CO35" s="513"/>
      <c r="CP35" s="514"/>
      <c r="CQ35" s="512"/>
      <c r="CR35" s="513"/>
      <c r="CS35" s="513"/>
      <c r="CT35" s="514"/>
      <c r="CU35" s="512"/>
      <c r="CV35" s="513"/>
      <c r="CW35" s="513"/>
      <c r="CX35" s="514"/>
      <c r="CY35" s="512"/>
      <c r="CZ35" s="513"/>
      <c r="DA35" s="513"/>
      <c r="DB35" s="514"/>
      <c r="DC35" s="512"/>
      <c r="DD35" s="513"/>
      <c r="DE35" s="513"/>
      <c r="DF35" s="514"/>
      <c r="DG35" s="512"/>
      <c r="DH35" s="513"/>
      <c r="DI35" s="513"/>
      <c r="DJ35" s="514"/>
      <c r="DK35" s="512"/>
      <c r="DL35" s="513"/>
      <c r="DM35" s="513"/>
      <c r="DN35" s="514"/>
      <c r="DO35" s="512"/>
      <c r="DP35" s="513"/>
      <c r="DQ35" s="513"/>
      <c r="DR35" s="514"/>
      <c r="DS35" s="512"/>
      <c r="DT35" s="513"/>
      <c r="DU35" s="513"/>
      <c r="DV35" s="514"/>
      <c r="DW35" s="512"/>
      <c r="DX35" s="513"/>
      <c r="DY35" s="513"/>
      <c r="DZ35" s="514"/>
      <c r="EA35" s="512"/>
      <c r="EB35" s="513"/>
      <c r="EC35" s="513"/>
      <c r="ED35" s="514"/>
      <c r="EE35" s="512"/>
      <c r="EF35" s="513"/>
      <c r="EG35" s="513"/>
      <c r="EH35" s="514"/>
      <c r="EI35" s="512"/>
      <c r="EJ35" s="513"/>
      <c r="EK35" s="513"/>
      <c r="EL35" s="514"/>
      <c r="EM35" s="512"/>
      <c r="EN35" s="513"/>
      <c r="EO35" s="513"/>
      <c r="EP35" s="514"/>
      <c r="EQ35" s="512"/>
      <c r="ER35" s="513"/>
      <c r="ES35" s="513"/>
      <c r="ET35" s="514"/>
      <c r="EU35" s="512"/>
      <c r="EV35" s="513"/>
      <c r="EW35" s="513"/>
      <c r="EX35" s="514"/>
      <c r="EY35" s="577"/>
      <c r="EZ35" s="513"/>
      <c r="FA35" s="578"/>
      <c r="FD35" s="512"/>
      <c r="FE35" s="513"/>
      <c r="FF35" s="513"/>
      <c r="FG35" s="514"/>
      <c r="FH35" s="512"/>
      <c r="FI35" s="513"/>
      <c r="FJ35" s="513"/>
      <c r="FK35" s="514"/>
      <c r="FL35" s="512"/>
      <c r="FM35" s="513"/>
      <c r="FN35" s="513"/>
      <c r="FO35" s="514"/>
      <c r="FP35" s="512"/>
      <c r="FQ35" s="513"/>
      <c r="FR35" s="513"/>
      <c r="FS35" s="514"/>
      <c r="FT35" s="512"/>
      <c r="FU35" s="513"/>
      <c r="FV35" s="513"/>
      <c r="FW35" s="514"/>
      <c r="FX35" s="512"/>
      <c r="FY35" s="513"/>
      <c r="FZ35" s="513"/>
      <c r="GA35" s="514"/>
      <c r="GB35" s="512"/>
      <c r="GC35" s="513"/>
      <c r="GD35" s="513"/>
      <c r="GE35" s="514"/>
      <c r="GF35" s="512"/>
      <c r="GG35" s="513"/>
      <c r="GH35" s="513"/>
      <c r="GI35" s="514"/>
      <c r="GJ35" s="512"/>
      <c r="GK35" s="513"/>
      <c r="GL35" s="513"/>
      <c r="GM35" s="514"/>
      <c r="GN35" s="512"/>
      <c r="GO35" s="513"/>
      <c r="GP35" s="513"/>
      <c r="GQ35" s="514"/>
      <c r="GR35" s="512"/>
      <c r="GS35" s="513"/>
      <c r="GT35" s="513"/>
      <c r="GU35" s="514"/>
      <c r="GV35" s="512"/>
      <c r="GW35" s="513"/>
      <c r="GX35" s="513"/>
      <c r="GY35" s="514"/>
      <c r="GZ35" s="512"/>
      <c r="HA35" s="513"/>
      <c r="HB35" s="513"/>
      <c r="HC35" s="514"/>
      <c r="HD35" s="550"/>
      <c r="HE35" s="900"/>
      <c r="HF35" s="900"/>
      <c r="HG35" s="552"/>
      <c r="HH35" s="550"/>
      <c r="HI35" s="551"/>
      <c r="HJ35" s="551"/>
      <c r="HK35" s="552"/>
      <c r="HL35" s="550"/>
      <c r="HM35" s="551"/>
      <c r="HN35" s="551"/>
      <c r="HO35" s="552"/>
      <c r="HP35" s="550"/>
      <c r="HQ35" s="551"/>
      <c r="HR35" s="551"/>
      <c r="HS35" s="552"/>
      <c r="HT35" s="550"/>
      <c r="HU35" s="551"/>
      <c r="HV35" s="551"/>
      <c r="HW35" s="552"/>
      <c r="HY35" s="512"/>
      <c r="HZ35" s="513"/>
      <c r="IA35" s="513"/>
      <c r="IB35" s="514"/>
      <c r="IC35" s="512"/>
      <c r="ID35" s="513"/>
      <c r="IE35" s="513"/>
      <c r="IF35" s="514"/>
      <c r="IG35" s="512"/>
      <c r="IH35" s="513"/>
      <c r="II35" s="513"/>
      <c r="IJ35" s="514"/>
    </row>
    <row r="36" spans="1:244" ht="13">
      <c r="A36" s="554" t="s">
        <v>23</v>
      </c>
      <c r="B36" s="574">
        <v>2004</v>
      </c>
      <c r="C36" s="575"/>
      <c r="D36" s="563"/>
      <c r="E36" s="575"/>
      <c r="F36" s="558"/>
      <c r="G36" s="551"/>
      <c r="H36" s="551"/>
      <c r="I36" s="551"/>
      <c r="J36" s="552"/>
      <c r="K36" s="576"/>
      <c r="L36" s="563"/>
      <c r="M36" s="575"/>
      <c r="N36" s="558"/>
      <c r="O36" s="550"/>
      <c r="P36" s="551"/>
      <c r="Q36" s="551"/>
      <c r="R36" s="552"/>
      <c r="S36" s="512"/>
      <c r="T36" s="513"/>
      <c r="U36" s="513"/>
      <c r="V36" s="514"/>
      <c r="W36" s="512"/>
      <c r="X36" s="513"/>
      <c r="Y36" s="513"/>
      <c r="Z36" s="514"/>
      <c r="AA36" s="512"/>
      <c r="AB36" s="513"/>
      <c r="AC36" s="513"/>
      <c r="AD36" s="514"/>
      <c r="AE36" s="512"/>
      <c r="AF36" s="513"/>
      <c r="AG36" s="513"/>
      <c r="AH36" s="514"/>
      <c r="AI36" s="512"/>
      <c r="AJ36" s="513"/>
      <c r="AK36" s="513"/>
      <c r="AL36" s="514"/>
      <c r="AM36" s="512"/>
      <c r="AN36" s="513"/>
      <c r="AO36" s="513"/>
      <c r="AP36" s="514"/>
      <c r="AQ36" s="512"/>
      <c r="AR36" s="513"/>
      <c r="AS36" s="513"/>
      <c r="AT36" s="514"/>
      <c r="AU36" s="550"/>
      <c r="AV36" s="551"/>
      <c r="AW36" s="551"/>
      <c r="AX36" s="552"/>
      <c r="AY36" s="550"/>
      <c r="AZ36" s="551"/>
      <c r="BA36" s="551"/>
      <c r="BB36" s="552"/>
      <c r="BC36" s="550"/>
      <c r="BD36" s="551"/>
      <c r="BE36" s="551"/>
      <c r="BF36" s="552"/>
      <c r="BG36" s="550"/>
      <c r="BH36" s="551"/>
      <c r="BI36" s="551"/>
      <c r="BJ36" s="552"/>
      <c r="BK36" s="550"/>
      <c r="BL36" s="551"/>
      <c r="BM36" s="551"/>
      <c r="BN36" s="552"/>
      <c r="BO36" s="550"/>
      <c r="BP36" s="551"/>
      <c r="BQ36" s="551"/>
      <c r="BR36" s="552"/>
      <c r="BS36" s="512"/>
      <c r="BT36" s="513"/>
      <c r="BU36" s="513"/>
      <c r="BV36" s="514"/>
      <c r="BW36" s="512"/>
      <c r="BX36" s="513"/>
      <c r="BY36" s="513"/>
      <c r="BZ36" s="514"/>
      <c r="CA36" s="512"/>
      <c r="CB36" s="513"/>
      <c r="CC36" s="513"/>
      <c r="CD36" s="514"/>
      <c r="CE36" s="512"/>
      <c r="CF36" s="513"/>
      <c r="CG36" s="513"/>
      <c r="CH36" s="514"/>
      <c r="CI36" s="512"/>
      <c r="CJ36" s="513"/>
      <c r="CK36" s="513"/>
      <c r="CL36" s="514"/>
      <c r="CM36" s="512"/>
      <c r="CN36" s="513"/>
      <c r="CO36" s="513"/>
      <c r="CP36" s="514"/>
      <c r="CQ36" s="512"/>
      <c r="CR36" s="513"/>
      <c r="CS36" s="513"/>
      <c r="CT36" s="514"/>
      <c r="CU36" s="512"/>
      <c r="CV36" s="513"/>
      <c r="CW36" s="513"/>
      <c r="CX36" s="514"/>
      <c r="CY36" s="512"/>
      <c r="CZ36" s="513"/>
      <c r="DA36" s="513"/>
      <c r="DB36" s="514"/>
      <c r="DC36" s="512"/>
      <c r="DD36" s="513"/>
      <c r="DE36" s="513"/>
      <c r="DF36" s="514"/>
      <c r="DG36" s="512"/>
      <c r="DH36" s="513"/>
      <c r="DI36" s="513"/>
      <c r="DJ36" s="514"/>
      <c r="DK36" s="512"/>
      <c r="DL36" s="513"/>
      <c r="DM36" s="513"/>
      <c r="DN36" s="514"/>
      <c r="DO36" s="512"/>
      <c r="DP36" s="513"/>
      <c r="DQ36" s="513"/>
      <c r="DR36" s="514"/>
      <c r="DS36" s="512"/>
      <c r="DT36" s="513"/>
      <c r="DU36" s="513"/>
      <c r="DV36" s="514"/>
      <c r="DW36" s="512"/>
      <c r="DX36" s="513"/>
      <c r="DY36" s="513"/>
      <c r="DZ36" s="514"/>
      <c r="EA36" s="512"/>
      <c r="EB36" s="513"/>
      <c r="EC36" s="513"/>
      <c r="ED36" s="514"/>
      <c r="EE36" s="512"/>
      <c r="EF36" s="513"/>
      <c r="EG36" s="513"/>
      <c r="EH36" s="514"/>
      <c r="EI36" s="512"/>
      <c r="EJ36" s="513"/>
      <c r="EK36" s="513"/>
      <c r="EL36" s="514"/>
      <c r="EM36" s="512"/>
      <c r="EN36" s="513"/>
      <c r="EO36" s="513"/>
      <c r="EP36" s="514"/>
      <c r="EQ36" s="512"/>
      <c r="ER36" s="513"/>
      <c r="ES36" s="513"/>
      <c r="ET36" s="514"/>
      <c r="EU36" s="512"/>
      <c r="EV36" s="513"/>
      <c r="EW36" s="513"/>
      <c r="EX36" s="514"/>
      <c r="EY36" s="577"/>
      <c r="EZ36" s="579"/>
      <c r="FA36" s="514"/>
      <c r="FD36" s="512"/>
      <c r="FE36" s="513"/>
      <c r="FF36" s="513"/>
      <c r="FG36" s="514"/>
      <c r="FH36" s="512"/>
      <c r="FI36" s="513"/>
      <c r="FJ36" s="513"/>
      <c r="FK36" s="514"/>
      <c r="FL36" s="512"/>
      <c r="FM36" s="513"/>
      <c r="FN36" s="513"/>
      <c r="FO36" s="514"/>
      <c r="FP36" s="512"/>
      <c r="FQ36" s="513"/>
      <c r="FR36" s="513"/>
      <c r="FS36" s="514"/>
      <c r="FT36" s="512"/>
      <c r="FU36" s="513"/>
      <c r="FV36" s="513"/>
      <c r="FW36" s="514"/>
      <c r="FX36" s="512"/>
      <c r="FY36" s="513"/>
      <c r="FZ36" s="513"/>
      <c r="GA36" s="514"/>
      <c r="GB36" s="512"/>
      <c r="GC36" s="513"/>
      <c r="GD36" s="513"/>
      <c r="GE36" s="514"/>
      <c r="GF36" s="512"/>
      <c r="GG36" s="513"/>
      <c r="GH36" s="513"/>
      <c r="GI36" s="514"/>
      <c r="GJ36" s="512"/>
      <c r="GK36" s="513"/>
      <c r="GL36" s="513"/>
      <c r="GM36" s="514"/>
      <c r="GN36" s="512"/>
      <c r="GO36" s="513"/>
      <c r="GP36" s="513"/>
      <c r="GQ36" s="514"/>
      <c r="GR36" s="512"/>
      <c r="GS36" s="513"/>
      <c r="GT36" s="513"/>
      <c r="GU36" s="514"/>
      <c r="GV36" s="512"/>
      <c r="GW36" s="513"/>
      <c r="GX36" s="513"/>
      <c r="GY36" s="514"/>
      <c r="GZ36" s="512"/>
      <c r="HA36" s="513"/>
      <c r="HB36" s="513"/>
      <c r="HC36" s="514"/>
      <c r="HD36" s="550"/>
      <c r="HE36" s="900"/>
      <c r="HF36" s="900"/>
      <c r="HG36" s="552"/>
      <c r="HH36" s="550"/>
      <c r="HI36" s="551"/>
      <c r="HJ36" s="551"/>
      <c r="HK36" s="552"/>
      <c r="HL36" s="550"/>
      <c r="HM36" s="551"/>
      <c r="HN36" s="551"/>
      <c r="HO36" s="552"/>
      <c r="HP36" s="550"/>
      <c r="HQ36" s="551"/>
      <c r="HR36" s="551"/>
      <c r="HS36" s="552"/>
      <c r="HT36" s="550"/>
      <c r="HU36" s="551"/>
      <c r="HV36" s="551"/>
      <c r="HW36" s="552"/>
      <c r="HY36" s="512"/>
      <c r="HZ36" s="513"/>
      <c r="IA36" s="513"/>
      <c r="IB36" s="514"/>
      <c r="IC36" s="512"/>
      <c r="ID36" s="513"/>
      <c r="IE36" s="513"/>
      <c r="IF36" s="514"/>
      <c r="IG36" s="512"/>
      <c r="IH36" s="513"/>
      <c r="II36" s="513"/>
      <c r="IJ36" s="514"/>
    </row>
    <row r="37" spans="1:244">
      <c r="A37" s="554" t="s">
        <v>24</v>
      </c>
      <c r="B37" s="574">
        <v>2005</v>
      </c>
      <c r="C37" s="575"/>
      <c r="D37" s="563"/>
      <c r="E37" s="575"/>
      <c r="F37" s="558"/>
      <c r="G37" s="575"/>
      <c r="H37" s="563"/>
      <c r="I37" s="575"/>
      <c r="J37" s="558"/>
      <c r="K37" s="580"/>
      <c r="L37" s="575"/>
      <c r="M37" s="575"/>
      <c r="N37" s="558"/>
      <c r="O37" s="554"/>
      <c r="P37" s="557"/>
      <c r="Q37" s="557"/>
      <c r="R37" s="558"/>
      <c r="S37" s="502"/>
      <c r="T37" s="477"/>
      <c r="U37" s="477"/>
      <c r="V37" s="493"/>
      <c r="W37" s="502"/>
      <c r="X37" s="477"/>
      <c r="Y37" s="477"/>
      <c r="Z37" s="493"/>
      <c r="AA37" s="502"/>
      <c r="AB37" s="477"/>
      <c r="AC37" s="477"/>
      <c r="AD37" s="493"/>
      <c r="AE37" s="502"/>
      <c r="AF37" s="477"/>
      <c r="AG37" s="477"/>
      <c r="AH37" s="493"/>
      <c r="AI37" s="502"/>
      <c r="AJ37" s="477"/>
      <c r="AK37" s="477"/>
      <c r="AL37" s="493"/>
      <c r="AM37" s="502"/>
      <c r="AN37" s="477"/>
      <c r="AO37" s="477"/>
      <c r="AP37" s="493"/>
      <c r="AQ37" s="502"/>
      <c r="AR37" s="477"/>
      <c r="AS37" s="477"/>
      <c r="AT37" s="493"/>
      <c r="AU37" s="554"/>
      <c r="AV37" s="557"/>
      <c r="AW37" s="557"/>
      <c r="AX37" s="558"/>
      <c r="AY37" s="554"/>
      <c r="AZ37" s="557"/>
      <c r="BA37" s="557"/>
      <c r="BB37" s="558"/>
      <c r="BC37" s="554"/>
      <c r="BD37" s="557"/>
      <c r="BE37" s="557"/>
      <c r="BF37" s="558"/>
      <c r="BG37" s="554"/>
      <c r="BH37" s="557"/>
      <c r="BI37" s="557"/>
      <c r="BJ37" s="558"/>
      <c r="BK37" s="554"/>
      <c r="BL37" s="557"/>
      <c r="BM37" s="557"/>
      <c r="BN37" s="558"/>
      <c r="BO37" s="554"/>
      <c r="BP37" s="557"/>
      <c r="BQ37" s="557"/>
      <c r="BR37" s="558"/>
      <c r="BS37" s="502"/>
      <c r="BT37" s="477"/>
      <c r="BU37" s="477"/>
      <c r="BV37" s="493"/>
      <c r="BW37" s="502"/>
      <c r="BX37" s="477"/>
      <c r="BY37" s="477"/>
      <c r="BZ37" s="493"/>
      <c r="CA37" s="502"/>
      <c r="CB37" s="477"/>
      <c r="CC37" s="477"/>
      <c r="CD37" s="493"/>
      <c r="CE37" s="502"/>
      <c r="CF37" s="477"/>
      <c r="CG37" s="477"/>
      <c r="CH37" s="493"/>
      <c r="CI37" s="502"/>
      <c r="CJ37" s="477"/>
      <c r="CK37" s="477"/>
      <c r="CL37" s="493"/>
      <c r="CM37" s="502"/>
      <c r="CN37" s="477"/>
      <c r="CO37" s="477"/>
      <c r="CP37" s="493"/>
      <c r="CQ37" s="502"/>
      <c r="CR37" s="477"/>
      <c r="CS37" s="477"/>
      <c r="CT37" s="493"/>
      <c r="CU37" s="502"/>
      <c r="CV37" s="477"/>
      <c r="CW37" s="477"/>
      <c r="CX37" s="493"/>
      <c r="CY37" s="502"/>
      <c r="CZ37" s="477"/>
      <c r="DA37" s="477"/>
      <c r="DB37" s="493"/>
      <c r="DC37" s="502"/>
      <c r="DD37" s="477"/>
      <c r="DE37" s="477"/>
      <c r="DF37" s="493"/>
      <c r="DG37" s="502"/>
      <c r="DH37" s="477"/>
      <c r="DI37" s="477"/>
      <c r="DJ37" s="493"/>
      <c r="DK37" s="502"/>
      <c r="DL37" s="477"/>
      <c r="DM37" s="477"/>
      <c r="DN37" s="493"/>
      <c r="DO37" s="502"/>
      <c r="DP37" s="477"/>
      <c r="DQ37" s="477"/>
      <c r="DR37" s="493"/>
      <c r="DS37" s="502"/>
      <c r="DT37" s="477"/>
      <c r="DU37" s="477"/>
      <c r="DV37" s="493"/>
      <c r="DW37" s="502"/>
      <c r="DX37" s="477"/>
      <c r="DY37" s="477"/>
      <c r="DZ37" s="493"/>
      <c r="EA37" s="502"/>
      <c r="EB37" s="477"/>
      <c r="EC37" s="477"/>
      <c r="ED37" s="493"/>
      <c r="EE37" s="502"/>
      <c r="EF37" s="477"/>
      <c r="EG37" s="477"/>
      <c r="EH37" s="493"/>
      <c r="EI37" s="502"/>
      <c r="EJ37" s="477"/>
      <c r="EK37" s="477"/>
      <c r="EL37" s="493"/>
      <c r="EM37" s="502"/>
      <c r="EN37" s="477"/>
      <c r="EO37" s="477"/>
      <c r="EP37" s="493"/>
      <c r="EQ37" s="502"/>
      <c r="ER37" s="477"/>
      <c r="ES37" s="477"/>
      <c r="ET37" s="493"/>
      <c r="EU37" s="502"/>
      <c r="EV37" s="477"/>
      <c r="EW37" s="477"/>
      <c r="EX37" s="493"/>
      <c r="EY37" s="577"/>
      <c r="EZ37" s="557"/>
      <c r="FA37" s="578"/>
      <c r="FD37" s="502"/>
      <c r="FE37" s="477"/>
      <c r="FF37" s="477"/>
      <c r="FG37" s="493"/>
      <c r="FH37" s="502"/>
      <c r="FI37" s="477"/>
      <c r="FJ37" s="477"/>
      <c r="FK37" s="493"/>
      <c r="FL37" s="502"/>
      <c r="FM37" s="477"/>
      <c r="FN37" s="477"/>
      <c r="FO37" s="493"/>
      <c r="FP37" s="502"/>
      <c r="FQ37" s="477"/>
      <c r="FR37" s="477"/>
      <c r="FS37" s="493"/>
      <c r="FT37" s="502"/>
      <c r="FU37" s="477"/>
      <c r="FV37" s="477"/>
      <c r="FW37" s="493"/>
      <c r="FX37" s="502"/>
      <c r="FY37" s="477"/>
      <c r="FZ37" s="477"/>
      <c r="GA37" s="493"/>
      <c r="GB37" s="502"/>
      <c r="GC37" s="477"/>
      <c r="GD37" s="477"/>
      <c r="GE37" s="493"/>
      <c r="GF37" s="502"/>
      <c r="GG37" s="477"/>
      <c r="GH37" s="477"/>
      <c r="GI37" s="493"/>
      <c r="GJ37" s="502"/>
      <c r="GK37" s="477"/>
      <c r="GL37" s="477"/>
      <c r="GM37" s="493"/>
      <c r="GN37" s="502"/>
      <c r="GO37" s="477"/>
      <c r="GP37" s="477"/>
      <c r="GQ37" s="493"/>
      <c r="GR37" s="502"/>
      <c r="GS37" s="477"/>
      <c r="GT37" s="477"/>
      <c r="GU37" s="493"/>
      <c r="GV37" s="502"/>
      <c r="GW37" s="477"/>
      <c r="GX37" s="477"/>
      <c r="GY37" s="493"/>
      <c r="GZ37" s="502"/>
      <c r="HA37" s="477"/>
      <c r="HB37" s="477"/>
      <c r="HC37" s="493"/>
      <c r="HD37" s="554"/>
      <c r="HG37" s="918"/>
      <c r="HH37" s="554"/>
      <c r="HI37" s="557"/>
      <c r="HJ37" s="557"/>
      <c r="HK37" s="918"/>
      <c r="HL37" s="554"/>
      <c r="HM37" s="557"/>
      <c r="HN37" s="557"/>
      <c r="HO37" s="918"/>
      <c r="HP37" s="554"/>
      <c r="HQ37" s="557"/>
      <c r="HR37" s="557"/>
      <c r="HS37" s="918"/>
      <c r="HT37" s="554"/>
      <c r="HU37" s="557"/>
      <c r="HV37" s="557"/>
      <c r="HW37" s="918"/>
      <c r="HY37" s="502"/>
      <c r="HZ37" s="477"/>
      <c r="IA37" s="477"/>
      <c r="IB37" s="493"/>
      <c r="IC37" s="502"/>
      <c r="ID37" s="477"/>
      <c r="IE37" s="477"/>
      <c r="IF37" s="493"/>
      <c r="IG37" s="502"/>
      <c r="IH37" s="477"/>
      <c r="II37" s="477"/>
      <c r="IJ37" s="493"/>
    </row>
    <row r="38" spans="1:244">
      <c r="A38" s="554" t="s">
        <v>23</v>
      </c>
      <c r="B38" s="574">
        <v>2005</v>
      </c>
      <c r="C38" s="575"/>
      <c r="D38" s="563"/>
      <c r="E38" s="575"/>
      <c r="F38" s="558"/>
      <c r="G38" s="575"/>
      <c r="H38" s="563"/>
      <c r="I38" s="575"/>
      <c r="J38" s="558"/>
      <c r="K38" s="580"/>
      <c r="L38" s="575"/>
      <c r="M38" s="575"/>
      <c r="N38" s="558"/>
      <c r="O38" s="554"/>
      <c r="P38" s="557"/>
      <c r="Q38" s="557"/>
      <c r="R38" s="558"/>
      <c r="S38" s="502"/>
      <c r="T38" s="477"/>
      <c r="U38" s="477"/>
      <c r="V38" s="493"/>
      <c r="W38" s="502"/>
      <c r="X38" s="477"/>
      <c r="Y38" s="477"/>
      <c r="Z38" s="493"/>
      <c r="AA38" s="502"/>
      <c r="AB38" s="477"/>
      <c r="AC38" s="477"/>
      <c r="AD38" s="493"/>
      <c r="AE38" s="502"/>
      <c r="AF38" s="477"/>
      <c r="AG38" s="477"/>
      <c r="AH38" s="493"/>
      <c r="AI38" s="502"/>
      <c r="AJ38" s="477"/>
      <c r="AK38" s="477"/>
      <c r="AL38" s="493"/>
      <c r="AM38" s="502"/>
      <c r="AN38" s="477"/>
      <c r="AO38" s="477"/>
      <c r="AP38" s="493"/>
      <c r="AQ38" s="502"/>
      <c r="AR38" s="477"/>
      <c r="AS38" s="477"/>
      <c r="AT38" s="493"/>
      <c r="AU38" s="554"/>
      <c r="AV38" s="557"/>
      <c r="AW38" s="557"/>
      <c r="AX38" s="558"/>
      <c r="AY38" s="554"/>
      <c r="AZ38" s="557"/>
      <c r="BA38" s="557"/>
      <c r="BB38" s="558"/>
      <c r="BC38" s="554"/>
      <c r="BD38" s="557"/>
      <c r="BE38" s="557"/>
      <c r="BF38" s="558"/>
      <c r="BG38" s="554"/>
      <c r="BH38" s="557"/>
      <c r="BI38" s="557"/>
      <c r="BJ38" s="558"/>
      <c r="BK38" s="554"/>
      <c r="BL38" s="557"/>
      <c r="BM38" s="557"/>
      <c r="BN38" s="558"/>
      <c r="BO38" s="554"/>
      <c r="BP38" s="557"/>
      <c r="BQ38" s="557"/>
      <c r="BR38" s="558"/>
      <c r="BS38" s="502"/>
      <c r="BT38" s="477"/>
      <c r="BU38" s="477"/>
      <c r="BV38" s="493"/>
      <c r="BW38" s="502"/>
      <c r="BX38" s="477"/>
      <c r="BY38" s="477"/>
      <c r="BZ38" s="493"/>
      <c r="CA38" s="502"/>
      <c r="CB38" s="477"/>
      <c r="CC38" s="477"/>
      <c r="CD38" s="493"/>
      <c r="CE38" s="502"/>
      <c r="CF38" s="477"/>
      <c r="CG38" s="477"/>
      <c r="CH38" s="493"/>
      <c r="CI38" s="502"/>
      <c r="CJ38" s="477"/>
      <c r="CK38" s="477"/>
      <c r="CL38" s="493"/>
      <c r="CM38" s="502"/>
      <c r="CN38" s="477"/>
      <c r="CO38" s="477"/>
      <c r="CP38" s="493"/>
      <c r="CQ38" s="502"/>
      <c r="CR38" s="477"/>
      <c r="CS38" s="477"/>
      <c r="CT38" s="493"/>
      <c r="CU38" s="502"/>
      <c r="CV38" s="477"/>
      <c r="CW38" s="477"/>
      <c r="CX38" s="493"/>
      <c r="CY38" s="502"/>
      <c r="CZ38" s="477"/>
      <c r="DA38" s="477"/>
      <c r="DB38" s="493"/>
      <c r="DC38" s="502"/>
      <c r="DD38" s="477"/>
      <c r="DE38" s="477"/>
      <c r="DF38" s="493"/>
      <c r="DG38" s="502"/>
      <c r="DH38" s="477"/>
      <c r="DI38" s="477"/>
      <c r="DJ38" s="493"/>
      <c r="DK38" s="502"/>
      <c r="DL38" s="477"/>
      <c r="DM38" s="477"/>
      <c r="DN38" s="493"/>
      <c r="DO38" s="502"/>
      <c r="DP38" s="477"/>
      <c r="DQ38" s="477"/>
      <c r="DR38" s="493"/>
      <c r="DS38" s="502"/>
      <c r="DT38" s="477"/>
      <c r="DU38" s="477"/>
      <c r="DV38" s="493"/>
      <c r="DW38" s="502"/>
      <c r="DX38" s="477"/>
      <c r="DY38" s="477"/>
      <c r="DZ38" s="493"/>
      <c r="EA38" s="502"/>
      <c r="EB38" s="477"/>
      <c r="EC38" s="477"/>
      <c r="ED38" s="493"/>
      <c r="EE38" s="502"/>
      <c r="EF38" s="477"/>
      <c r="EG38" s="477"/>
      <c r="EH38" s="493"/>
      <c r="EI38" s="502"/>
      <c r="EJ38" s="477"/>
      <c r="EK38" s="477"/>
      <c r="EL38" s="493"/>
      <c r="EM38" s="502"/>
      <c r="EN38" s="477"/>
      <c r="EO38" s="477"/>
      <c r="EP38" s="493"/>
      <c r="EQ38" s="502"/>
      <c r="ER38" s="477"/>
      <c r="ES38" s="477"/>
      <c r="ET38" s="493"/>
      <c r="EU38" s="502"/>
      <c r="EV38" s="477"/>
      <c r="EW38" s="477"/>
      <c r="EX38" s="493"/>
      <c r="EY38" s="577"/>
      <c r="EZ38" s="579"/>
      <c r="FA38" s="553"/>
      <c r="FD38" s="502"/>
      <c r="FE38" s="477"/>
      <c r="FF38" s="477"/>
      <c r="FG38" s="493"/>
      <c r="FH38" s="502"/>
      <c r="FI38" s="477"/>
      <c r="FJ38" s="477"/>
      <c r="FK38" s="493"/>
      <c r="FL38" s="502"/>
      <c r="FM38" s="477"/>
      <c r="FN38" s="477"/>
      <c r="FO38" s="493"/>
      <c r="FP38" s="502"/>
      <c r="FQ38" s="477"/>
      <c r="FR38" s="477"/>
      <c r="FS38" s="493"/>
      <c r="FT38" s="502"/>
      <c r="FU38" s="477"/>
      <c r="FV38" s="477"/>
      <c r="FW38" s="493"/>
      <c r="FX38" s="502"/>
      <c r="FY38" s="477"/>
      <c r="FZ38" s="477"/>
      <c r="GA38" s="493"/>
      <c r="GB38" s="502"/>
      <c r="GC38" s="477"/>
      <c r="GD38" s="477"/>
      <c r="GE38" s="493"/>
      <c r="GF38" s="502"/>
      <c r="GG38" s="477"/>
      <c r="GH38" s="477"/>
      <c r="GI38" s="493"/>
      <c r="GJ38" s="502"/>
      <c r="GK38" s="477"/>
      <c r="GL38" s="477"/>
      <c r="GM38" s="493"/>
      <c r="GN38" s="502"/>
      <c r="GO38" s="477"/>
      <c r="GP38" s="477"/>
      <c r="GQ38" s="493"/>
      <c r="GR38" s="502"/>
      <c r="GS38" s="477"/>
      <c r="GT38" s="477"/>
      <c r="GU38" s="493"/>
      <c r="GV38" s="502"/>
      <c r="GW38" s="477"/>
      <c r="GX38" s="477"/>
      <c r="GY38" s="493"/>
      <c r="GZ38" s="502"/>
      <c r="HA38" s="477"/>
      <c r="HB38" s="477"/>
      <c r="HC38" s="493"/>
      <c r="HD38" s="554"/>
      <c r="HG38" s="918"/>
      <c r="HH38" s="554"/>
      <c r="HI38" s="557"/>
      <c r="HJ38" s="557"/>
      <c r="HK38" s="918"/>
      <c r="HL38" s="554"/>
      <c r="HM38" s="557"/>
      <c r="HN38" s="557"/>
      <c r="HO38" s="918"/>
      <c r="HP38" s="554"/>
      <c r="HQ38" s="557"/>
      <c r="HR38" s="557"/>
      <c r="HS38" s="918"/>
      <c r="HT38" s="554"/>
      <c r="HU38" s="557"/>
      <c r="HV38" s="557"/>
      <c r="HW38" s="918"/>
      <c r="HY38" s="502"/>
      <c r="HZ38" s="477"/>
      <c r="IA38" s="477"/>
      <c r="IB38" s="493"/>
      <c r="IC38" s="502"/>
      <c r="ID38" s="477"/>
      <c r="IE38" s="477"/>
      <c r="IF38" s="493"/>
      <c r="IG38" s="502"/>
      <c r="IH38" s="477"/>
      <c r="II38" s="477"/>
      <c r="IJ38" s="493"/>
    </row>
    <row r="39" spans="1:244">
      <c r="A39" s="554" t="s">
        <v>24</v>
      </c>
      <c r="B39" s="574">
        <f t="shared" ref="B39:B72" si="0">+B37+1</f>
        <v>2006</v>
      </c>
      <c r="C39" s="575"/>
      <c r="D39" s="575"/>
      <c r="E39" s="575"/>
      <c r="F39" s="558"/>
      <c r="G39" s="575"/>
      <c r="H39" s="563"/>
      <c r="I39" s="575"/>
      <c r="J39" s="558"/>
      <c r="K39" s="580"/>
      <c r="L39" s="575"/>
      <c r="M39" s="575"/>
      <c r="N39" s="558"/>
      <c r="O39" s="576"/>
      <c r="P39" s="563"/>
      <c r="Q39" s="575"/>
      <c r="R39" s="558"/>
      <c r="S39" s="492"/>
      <c r="T39" s="507"/>
      <c r="U39" s="476"/>
      <c r="V39" s="558"/>
      <c r="W39" s="492"/>
      <c r="X39" s="507"/>
      <c r="Y39" s="476"/>
      <c r="Z39" s="558"/>
      <c r="AA39" s="492"/>
      <c r="AB39" s="507"/>
      <c r="AC39" s="476"/>
      <c r="AD39" s="558"/>
      <c r="AE39" s="492"/>
      <c r="AF39" s="507"/>
      <c r="AG39" s="476"/>
      <c r="AH39" s="558"/>
      <c r="AI39" s="492"/>
      <c r="AJ39" s="507"/>
      <c r="AK39" s="476"/>
      <c r="AL39" s="558"/>
      <c r="AM39" s="492"/>
      <c r="AN39" s="507"/>
      <c r="AO39" s="476"/>
      <c r="AP39" s="558"/>
      <c r="AQ39" s="492"/>
      <c r="AR39" s="507"/>
      <c r="AS39" s="476"/>
      <c r="AT39" s="558"/>
      <c r="AU39" s="576"/>
      <c r="AV39" s="563"/>
      <c r="AW39" s="575"/>
      <c r="AX39" s="558"/>
      <c r="AY39" s="576"/>
      <c r="AZ39" s="563"/>
      <c r="BA39" s="575"/>
      <c r="BB39" s="558"/>
      <c r="BC39" s="576"/>
      <c r="BD39" s="563"/>
      <c r="BE39" s="575"/>
      <c r="BF39" s="558"/>
      <c r="BG39" s="576"/>
      <c r="BH39" s="563"/>
      <c r="BI39" s="575"/>
      <c r="BJ39" s="558"/>
      <c r="BK39" s="576"/>
      <c r="BL39" s="563"/>
      <c r="BM39" s="575"/>
      <c r="BN39" s="558"/>
      <c r="BO39" s="576"/>
      <c r="BP39" s="563"/>
      <c r="BQ39" s="575"/>
      <c r="BR39" s="558"/>
      <c r="BS39" s="492"/>
      <c r="BT39" s="507"/>
      <c r="BU39" s="476"/>
      <c r="BV39" s="558"/>
      <c r="BW39" s="492"/>
      <c r="BX39" s="507"/>
      <c r="BY39" s="476"/>
      <c r="BZ39" s="558"/>
      <c r="CA39" s="492"/>
      <c r="CB39" s="507"/>
      <c r="CC39" s="476"/>
      <c r="CD39" s="558"/>
      <c r="CE39" s="492"/>
      <c r="CF39" s="507"/>
      <c r="CG39" s="476"/>
      <c r="CH39" s="558"/>
      <c r="CI39" s="492"/>
      <c r="CJ39" s="507"/>
      <c r="CK39" s="476"/>
      <c r="CL39" s="558"/>
      <c r="CM39" s="492"/>
      <c r="CN39" s="507"/>
      <c r="CO39" s="476"/>
      <c r="CP39" s="558"/>
      <c r="CQ39" s="492"/>
      <c r="CR39" s="507"/>
      <c r="CS39" s="476"/>
      <c r="CT39" s="558"/>
      <c r="CU39" s="492"/>
      <c r="CV39" s="507"/>
      <c r="CW39" s="476"/>
      <c r="CX39" s="558"/>
      <c r="CY39" s="492"/>
      <c r="CZ39" s="507"/>
      <c r="DA39" s="476"/>
      <c r="DB39" s="558"/>
      <c r="DC39" s="492"/>
      <c r="DD39" s="507"/>
      <c r="DE39" s="476"/>
      <c r="DF39" s="558"/>
      <c r="DG39" s="492"/>
      <c r="DH39" s="507"/>
      <c r="DI39" s="476"/>
      <c r="DJ39" s="558"/>
      <c r="DK39" s="492"/>
      <c r="DL39" s="507"/>
      <c r="DM39" s="476"/>
      <c r="DN39" s="558"/>
      <c r="DO39" s="492"/>
      <c r="DP39" s="507"/>
      <c r="DQ39" s="476"/>
      <c r="DR39" s="493"/>
      <c r="DS39" s="492"/>
      <c r="DT39" s="507"/>
      <c r="DU39" s="476"/>
      <c r="DV39" s="493"/>
      <c r="DW39" s="492"/>
      <c r="DX39" s="507"/>
      <c r="DY39" s="476"/>
      <c r="DZ39" s="493"/>
      <c r="EA39" s="492"/>
      <c r="EB39" s="507"/>
      <c r="EC39" s="476"/>
      <c r="ED39" s="493"/>
      <c r="EE39" s="492"/>
      <c r="EF39" s="507"/>
      <c r="EG39" s="476"/>
      <c r="EH39" s="493"/>
      <c r="EI39" s="492"/>
      <c r="EJ39" s="507"/>
      <c r="EK39" s="476"/>
      <c r="EL39" s="493"/>
      <c r="EM39" s="492"/>
      <c r="EN39" s="507"/>
      <c r="EO39" s="476"/>
      <c r="EP39" s="493"/>
      <c r="EQ39" s="492"/>
      <c r="ER39" s="507"/>
      <c r="ES39" s="476"/>
      <c r="ET39" s="493"/>
      <c r="EU39" s="492"/>
      <c r="EV39" s="507"/>
      <c r="EW39" s="476"/>
      <c r="EX39" s="493"/>
      <c r="EY39" s="577"/>
      <c r="EZ39" s="557"/>
      <c r="FA39" s="578"/>
      <c r="FD39" s="492"/>
      <c r="FE39" s="507"/>
      <c r="FF39" s="476"/>
      <c r="FG39" s="493"/>
      <c r="FH39" s="492"/>
      <c r="FI39" s="507"/>
      <c r="FJ39" s="476"/>
      <c r="FK39" s="493"/>
      <c r="FL39" s="492"/>
      <c r="FM39" s="507"/>
      <c r="FN39" s="476"/>
      <c r="FO39" s="493"/>
      <c r="FP39" s="492"/>
      <c r="FQ39" s="507"/>
      <c r="FR39" s="476"/>
      <c r="FS39" s="493"/>
      <c r="FT39" s="492"/>
      <c r="FU39" s="507"/>
      <c r="FV39" s="476"/>
      <c r="FW39" s="493"/>
      <c r="FX39" s="492"/>
      <c r="FY39" s="507"/>
      <c r="FZ39" s="476"/>
      <c r="GA39" s="493"/>
      <c r="GB39" s="492"/>
      <c r="GC39" s="507"/>
      <c r="GD39" s="476"/>
      <c r="GE39" s="493"/>
      <c r="GF39" s="492"/>
      <c r="GG39" s="507"/>
      <c r="GH39" s="476"/>
      <c r="GI39" s="493"/>
      <c r="GJ39" s="492"/>
      <c r="GK39" s="507"/>
      <c r="GL39" s="476"/>
      <c r="GM39" s="493"/>
      <c r="GN39" s="492"/>
      <c r="GO39" s="507"/>
      <c r="GP39" s="476"/>
      <c r="GQ39" s="493"/>
      <c r="GR39" s="492"/>
      <c r="GS39" s="507"/>
      <c r="GT39" s="476"/>
      <c r="GU39" s="493"/>
      <c r="GV39" s="492"/>
      <c r="GW39" s="507"/>
      <c r="GX39" s="476"/>
      <c r="GY39" s="493"/>
      <c r="GZ39" s="492"/>
      <c r="HA39" s="507"/>
      <c r="HB39" s="476"/>
      <c r="HC39" s="493"/>
      <c r="HD39" s="576"/>
      <c r="HE39" s="909"/>
      <c r="HF39" s="580"/>
      <c r="HG39" s="918"/>
      <c r="HH39" s="576"/>
      <c r="HI39" s="925"/>
      <c r="HJ39" s="575"/>
      <c r="HK39" s="918"/>
      <c r="HL39" s="576"/>
      <c r="HM39" s="925"/>
      <c r="HN39" s="575"/>
      <c r="HO39" s="918"/>
      <c r="HP39" s="576"/>
      <c r="HQ39" s="925"/>
      <c r="HR39" s="575"/>
      <c r="HS39" s="918"/>
      <c r="HT39" s="576"/>
      <c r="HU39" s="925"/>
      <c r="HV39" s="575"/>
      <c r="HW39" s="918"/>
      <c r="HY39" s="492"/>
      <c r="HZ39" s="507"/>
      <c r="IA39" s="476"/>
      <c r="IB39" s="493"/>
      <c r="IC39" s="492"/>
      <c r="ID39" s="507"/>
      <c r="IE39" s="476"/>
      <c r="IF39" s="493"/>
      <c r="IG39" s="492"/>
      <c r="IH39" s="507"/>
      <c r="II39" s="476"/>
      <c r="IJ39" s="493"/>
    </row>
    <row r="40" spans="1:244">
      <c r="A40" s="554" t="s">
        <v>23</v>
      </c>
      <c r="B40" s="574">
        <f t="shared" si="0"/>
        <v>2006</v>
      </c>
      <c r="C40" s="575"/>
      <c r="D40" s="575"/>
      <c r="E40" s="575"/>
      <c r="F40" s="558"/>
      <c r="G40" s="575"/>
      <c r="H40" s="563"/>
      <c r="I40" s="575"/>
      <c r="J40" s="558"/>
      <c r="K40" s="580"/>
      <c r="L40" s="575"/>
      <c r="M40" s="575"/>
      <c r="N40" s="558"/>
      <c r="O40" s="576"/>
      <c r="P40" s="563"/>
      <c r="Q40" s="575"/>
      <c r="R40" s="558"/>
      <c r="S40" s="492"/>
      <c r="T40" s="507"/>
      <c r="U40" s="476"/>
      <c r="V40" s="493"/>
      <c r="W40" s="492"/>
      <c r="X40" s="507"/>
      <c r="Y40" s="476"/>
      <c r="Z40" s="493"/>
      <c r="AA40" s="492"/>
      <c r="AB40" s="507"/>
      <c r="AC40" s="476"/>
      <c r="AD40" s="493"/>
      <c r="AE40" s="492"/>
      <c r="AF40" s="507"/>
      <c r="AG40" s="476"/>
      <c r="AH40" s="493"/>
      <c r="AI40" s="492"/>
      <c r="AJ40" s="507"/>
      <c r="AK40" s="476"/>
      <c r="AL40" s="493"/>
      <c r="AM40" s="492"/>
      <c r="AN40" s="507"/>
      <c r="AO40" s="476"/>
      <c r="AP40" s="493"/>
      <c r="AQ40" s="492"/>
      <c r="AR40" s="507"/>
      <c r="AS40" s="476"/>
      <c r="AT40" s="493"/>
      <c r="AU40" s="576"/>
      <c r="AV40" s="563"/>
      <c r="AW40" s="575"/>
      <c r="AX40" s="558"/>
      <c r="AY40" s="576"/>
      <c r="AZ40" s="563"/>
      <c r="BA40" s="575"/>
      <c r="BB40" s="558"/>
      <c r="BC40" s="576"/>
      <c r="BD40" s="563"/>
      <c r="BE40" s="575"/>
      <c r="BF40" s="558"/>
      <c r="BG40" s="576"/>
      <c r="BH40" s="563"/>
      <c r="BI40" s="575"/>
      <c r="BJ40" s="558"/>
      <c r="BK40" s="576"/>
      <c r="BL40" s="563"/>
      <c r="BM40" s="575"/>
      <c r="BN40" s="558"/>
      <c r="BO40" s="576"/>
      <c r="BP40" s="563"/>
      <c r="BQ40" s="575"/>
      <c r="BR40" s="558"/>
      <c r="BS40" s="492"/>
      <c r="BT40" s="507"/>
      <c r="BU40" s="476"/>
      <c r="BV40" s="493"/>
      <c r="BW40" s="492"/>
      <c r="BX40" s="507"/>
      <c r="BY40" s="476"/>
      <c r="BZ40" s="493"/>
      <c r="CA40" s="492"/>
      <c r="CB40" s="507"/>
      <c r="CC40" s="476"/>
      <c r="CD40" s="493"/>
      <c r="CE40" s="492"/>
      <c r="CF40" s="507"/>
      <c r="CG40" s="476"/>
      <c r="CH40" s="493"/>
      <c r="CI40" s="492"/>
      <c r="CJ40" s="507"/>
      <c r="CK40" s="476"/>
      <c r="CL40" s="493"/>
      <c r="CM40" s="492"/>
      <c r="CN40" s="507"/>
      <c r="CO40" s="476"/>
      <c r="CP40" s="493"/>
      <c r="CQ40" s="492"/>
      <c r="CR40" s="507"/>
      <c r="CS40" s="476"/>
      <c r="CT40" s="493"/>
      <c r="CU40" s="492"/>
      <c r="CV40" s="507"/>
      <c r="CW40" s="476"/>
      <c r="CX40" s="493"/>
      <c r="CY40" s="492"/>
      <c r="CZ40" s="507"/>
      <c r="DA40" s="476"/>
      <c r="DB40" s="493"/>
      <c r="DC40" s="492"/>
      <c r="DD40" s="507"/>
      <c r="DE40" s="476"/>
      <c r="DF40" s="493"/>
      <c r="DG40" s="492"/>
      <c r="DH40" s="507"/>
      <c r="DI40" s="476"/>
      <c r="DJ40" s="493"/>
      <c r="DK40" s="492"/>
      <c r="DL40" s="507"/>
      <c r="DM40" s="476"/>
      <c r="DN40" s="493"/>
      <c r="DO40" s="492"/>
      <c r="DP40" s="507"/>
      <c r="DQ40" s="476"/>
      <c r="DR40" s="493"/>
      <c r="DS40" s="492"/>
      <c r="DT40" s="507"/>
      <c r="DU40" s="476"/>
      <c r="DV40" s="493"/>
      <c r="DW40" s="492"/>
      <c r="DX40" s="507"/>
      <c r="DY40" s="476"/>
      <c r="DZ40" s="493"/>
      <c r="EA40" s="492"/>
      <c r="EB40" s="507"/>
      <c r="EC40" s="476"/>
      <c r="ED40" s="493"/>
      <c r="EE40" s="492"/>
      <c r="EF40" s="507"/>
      <c r="EG40" s="476"/>
      <c r="EH40" s="493"/>
      <c r="EI40" s="492"/>
      <c r="EJ40" s="507"/>
      <c r="EK40" s="476"/>
      <c r="EL40" s="493"/>
      <c r="EM40" s="492"/>
      <c r="EN40" s="507"/>
      <c r="EO40" s="476"/>
      <c r="EP40" s="493"/>
      <c r="EQ40" s="492"/>
      <c r="ER40" s="507"/>
      <c r="ES40" s="476"/>
      <c r="ET40" s="493"/>
      <c r="EU40" s="492"/>
      <c r="EV40" s="507"/>
      <c r="EW40" s="476"/>
      <c r="EX40" s="493"/>
      <c r="EY40" s="577"/>
      <c r="EZ40" s="579"/>
      <c r="FA40" s="553"/>
      <c r="FB40" s="581"/>
      <c r="FD40" s="492"/>
      <c r="FE40" s="507"/>
      <c r="FF40" s="476"/>
      <c r="FG40" s="493"/>
      <c r="FH40" s="492"/>
      <c r="FI40" s="507"/>
      <c r="FJ40" s="476"/>
      <c r="FK40" s="493"/>
      <c r="FL40" s="492"/>
      <c r="FM40" s="507"/>
      <c r="FN40" s="476"/>
      <c r="FO40" s="493"/>
      <c r="FP40" s="492"/>
      <c r="FQ40" s="507"/>
      <c r="FR40" s="476"/>
      <c r="FS40" s="493"/>
      <c r="FT40" s="492"/>
      <c r="FU40" s="507"/>
      <c r="FV40" s="476"/>
      <c r="FW40" s="493"/>
      <c r="FX40" s="492"/>
      <c r="FY40" s="507"/>
      <c r="FZ40" s="476"/>
      <c r="GA40" s="493"/>
      <c r="GB40" s="492"/>
      <c r="GC40" s="507"/>
      <c r="GD40" s="476"/>
      <c r="GE40" s="493"/>
      <c r="GF40" s="492"/>
      <c r="GG40" s="507"/>
      <c r="GH40" s="476"/>
      <c r="GI40" s="493"/>
      <c r="GJ40" s="492"/>
      <c r="GK40" s="507"/>
      <c r="GL40" s="476"/>
      <c r="GM40" s="493"/>
      <c r="GN40" s="492"/>
      <c r="GO40" s="507"/>
      <c r="GP40" s="476"/>
      <c r="GQ40" s="493"/>
      <c r="GR40" s="492"/>
      <c r="GS40" s="507"/>
      <c r="GT40" s="476"/>
      <c r="GU40" s="493"/>
      <c r="GV40" s="492"/>
      <c r="GW40" s="507"/>
      <c r="GX40" s="476"/>
      <c r="GY40" s="493"/>
      <c r="GZ40" s="492"/>
      <c r="HA40" s="507"/>
      <c r="HB40" s="476"/>
      <c r="HC40" s="493"/>
      <c r="HD40" s="576"/>
      <c r="HE40" s="909"/>
      <c r="HF40" s="580"/>
      <c r="HG40" s="918"/>
      <c r="HH40" s="576"/>
      <c r="HI40" s="925"/>
      <c r="HJ40" s="575"/>
      <c r="HK40" s="918"/>
      <c r="HL40" s="576"/>
      <c r="HM40" s="925"/>
      <c r="HN40" s="575"/>
      <c r="HO40" s="918"/>
      <c r="HP40" s="576"/>
      <c r="HQ40" s="925"/>
      <c r="HR40" s="575"/>
      <c r="HS40" s="918"/>
      <c r="HT40" s="576"/>
      <c r="HU40" s="925"/>
      <c r="HV40" s="575"/>
      <c r="HW40" s="918"/>
      <c r="HY40" s="492"/>
      <c r="HZ40" s="507"/>
      <c r="IA40" s="476"/>
      <c r="IB40" s="493"/>
      <c r="IC40" s="492"/>
      <c r="ID40" s="507"/>
      <c r="IE40" s="476"/>
      <c r="IF40" s="493"/>
      <c r="IG40" s="492"/>
      <c r="IH40" s="507"/>
      <c r="II40" s="476"/>
      <c r="IJ40" s="493"/>
    </row>
    <row r="41" spans="1:244">
      <c r="A41" s="554" t="s">
        <v>24</v>
      </c>
      <c r="B41" s="574">
        <f t="shared" si="0"/>
        <v>2007</v>
      </c>
      <c r="C41" s="575"/>
      <c r="D41" s="575"/>
      <c r="E41" s="575"/>
      <c r="F41" s="558"/>
      <c r="G41" s="575"/>
      <c r="H41" s="575"/>
      <c r="I41" s="575"/>
      <c r="J41" s="558"/>
      <c r="K41" s="575">
        <f>+K30</f>
        <v>13438469.49</v>
      </c>
      <c r="L41" s="575">
        <f>+K$31/12*(12-$K$32)</f>
        <v>76354.940284090917</v>
      </c>
      <c r="M41" s="575">
        <f>+K41-L41</f>
        <v>13362114.54971591</v>
      </c>
      <c r="N41" s="558">
        <f>+(((K$28*M41)*(12-K$32)/12))+L41</f>
        <v>452328.99907220149</v>
      </c>
      <c r="O41" s="576"/>
      <c r="P41" s="563"/>
      <c r="Q41" s="575"/>
      <c r="R41" s="558"/>
      <c r="S41" s="492"/>
      <c r="T41" s="507"/>
      <c r="U41" s="476"/>
      <c r="V41" s="493"/>
      <c r="W41" s="492"/>
      <c r="X41" s="507"/>
      <c r="Y41" s="476"/>
      <c r="Z41" s="493"/>
      <c r="AA41" s="492"/>
      <c r="AB41" s="507"/>
      <c r="AC41" s="476"/>
      <c r="AD41" s="493"/>
      <c r="AE41" s="492"/>
      <c r="AF41" s="507"/>
      <c r="AG41" s="476"/>
      <c r="AH41" s="493"/>
      <c r="AI41" s="492"/>
      <c r="AJ41" s="507"/>
      <c r="AK41" s="476"/>
      <c r="AL41" s="493"/>
      <c r="AM41" s="492"/>
      <c r="AN41" s="507"/>
      <c r="AO41" s="476"/>
      <c r="AP41" s="493"/>
      <c r="AQ41" s="492"/>
      <c r="AR41" s="507"/>
      <c r="AS41" s="476"/>
      <c r="AT41" s="493"/>
      <c r="AU41" s="576">
        <f>+AU$30</f>
        <v>30000000</v>
      </c>
      <c r="AV41" s="563">
        <f>+AU$31/12*(12-AU$32)</f>
        <v>125000</v>
      </c>
      <c r="AW41" s="575">
        <f t="shared" ref="AW41:AW76" si="1">+AU41-AV41</f>
        <v>29875000</v>
      </c>
      <c r="AX41" s="558">
        <f>+AU$28*AW41+AV41</f>
        <v>125000</v>
      </c>
      <c r="AY41" s="576">
        <f>+AY$30</f>
        <v>20000000</v>
      </c>
      <c r="AZ41" s="563">
        <f>+AY$31/12*(12-AY$32)</f>
        <v>416666.66666666663</v>
      </c>
      <c r="BA41" s="575">
        <f t="shared" ref="BA41:BA76" si="2">+AY41-AZ41</f>
        <v>19583333.333333332</v>
      </c>
      <c r="BB41" s="558">
        <f>+AY$28*BA41+AZ41</f>
        <v>416666.66666666663</v>
      </c>
      <c r="BC41" s="576"/>
      <c r="BD41" s="575"/>
      <c r="BE41" s="575"/>
      <c r="BF41" s="558"/>
      <c r="BG41" s="576"/>
      <c r="BH41" s="575"/>
      <c r="BI41" s="575"/>
      <c r="BJ41" s="558"/>
      <c r="BK41" s="576"/>
      <c r="BL41" s="575"/>
      <c r="BM41" s="575"/>
      <c r="BN41" s="558"/>
      <c r="BO41" s="576"/>
      <c r="BP41" s="575"/>
      <c r="BQ41" s="575"/>
      <c r="BR41" s="558"/>
      <c r="BS41" s="492"/>
      <c r="BT41" s="507"/>
      <c r="BU41" s="476"/>
      <c r="BV41" s="493"/>
      <c r="BW41" s="492"/>
      <c r="BX41" s="507"/>
      <c r="BY41" s="476"/>
      <c r="BZ41" s="493"/>
      <c r="CA41" s="492"/>
      <c r="CB41" s="507"/>
      <c r="CC41" s="476"/>
      <c r="CD41" s="493"/>
      <c r="CE41" s="492"/>
      <c r="CF41" s="507"/>
      <c r="CG41" s="476"/>
      <c r="CH41" s="493"/>
      <c r="CI41" s="492"/>
      <c r="CJ41" s="507"/>
      <c r="CK41" s="476"/>
      <c r="CL41" s="493"/>
      <c r="CM41" s="492"/>
      <c r="CN41" s="507"/>
      <c r="CO41" s="476"/>
      <c r="CP41" s="493"/>
      <c r="CQ41" s="492"/>
      <c r="CR41" s="507"/>
      <c r="CS41" s="476"/>
      <c r="CT41" s="493"/>
      <c r="CU41" s="492"/>
      <c r="CV41" s="507"/>
      <c r="CW41" s="476"/>
      <c r="CX41" s="493"/>
      <c r="CY41" s="492"/>
      <c r="CZ41" s="507"/>
      <c r="DA41" s="476"/>
      <c r="DB41" s="493"/>
      <c r="DC41" s="492"/>
      <c r="DD41" s="507"/>
      <c r="DE41" s="476"/>
      <c r="DF41" s="493"/>
      <c r="DG41" s="492"/>
      <c r="DH41" s="507"/>
      <c r="DI41" s="476"/>
      <c r="DJ41" s="493"/>
      <c r="DK41" s="492"/>
      <c r="DL41" s="507"/>
      <c r="DM41" s="476"/>
      <c r="DN41" s="493"/>
      <c r="DO41" s="492"/>
      <c r="DP41" s="507"/>
      <c r="DQ41" s="476"/>
      <c r="DR41" s="493"/>
      <c r="DS41" s="492"/>
      <c r="DT41" s="507"/>
      <c r="DU41" s="476"/>
      <c r="DV41" s="493"/>
      <c r="DW41" s="492"/>
      <c r="DX41" s="507"/>
      <c r="DY41" s="476"/>
      <c r="DZ41" s="493"/>
      <c r="EA41" s="492"/>
      <c r="EB41" s="507"/>
      <c r="EC41" s="476"/>
      <c r="ED41" s="493"/>
      <c r="EE41" s="492"/>
      <c r="EF41" s="507"/>
      <c r="EG41" s="476"/>
      <c r="EH41" s="493"/>
      <c r="EI41" s="492"/>
      <c r="EJ41" s="507"/>
      <c r="EK41" s="476"/>
      <c r="EL41" s="493"/>
      <c r="EM41" s="492"/>
      <c r="EN41" s="507"/>
      <c r="EO41" s="476"/>
      <c r="EP41" s="493"/>
      <c r="EQ41" s="492"/>
      <c r="ER41" s="507"/>
      <c r="ES41" s="476"/>
      <c r="ET41" s="493"/>
      <c r="EU41" s="492"/>
      <c r="EV41" s="507"/>
      <c r="EW41" s="476"/>
      <c r="EX41" s="493"/>
      <c r="EY41" s="582">
        <f t="shared" ref="EY41:EY66" si="3">+R41+J41+F41+N41+V41+Z41+AD41+AH41+AL41+AP41+AT41+BV41+BZ41+CD41+CH41+CL41+CP41+CT41+CX41+DB41+DF41+DJ41+DN41+DR41+DV41+DZ41+ED41+EH41+EL41+EP41</f>
        <v>452328.99907220149</v>
      </c>
      <c r="EZ41" s="557"/>
      <c r="FA41" s="578">
        <f>+EY41</f>
        <v>452328.99907220149</v>
      </c>
      <c r="FB41" s="581"/>
      <c r="FD41" s="492"/>
      <c r="FE41" s="507"/>
      <c r="FF41" s="476"/>
      <c r="FG41" s="493"/>
      <c r="FH41" s="492"/>
      <c r="FI41" s="507"/>
      <c r="FJ41" s="476"/>
      <c r="FK41" s="493"/>
      <c r="FL41" s="492"/>
      <c r="FM41" s="507"/>
      <c r="FN41" s="476"/>
      <c r="FO41" s="493"/>
      <c r="FP41" s="492"/>
      <c r="FQ41" s="507"/>
      <c r="FR41" s="476"/>
      <c r="FS41" s="493"/>
      <c r="FT41" s="492"/>
      <c r="FU41" s="507"/>
      <c r="FV41" s="476"/>
      <c r="FW41" s="493"/>
      <c r="FX41" s="492"/>
      <c r="FY41" s="507"/>
      <c r="FZ41" s="476"/>
      <c r="GA41" s="493"/>
      <c r="GB41" s="492"/>
      <c r="GC41" s="507"/>
      <c r="GD41" s="476"/>
      <c r="GE41" s="493"/>
      <c r="GF41" s="492"/>
      <c r="GG41" s="507"/>
      <c r="GH41" s="476"/>
      <c r="GI41" s="493"/>
      <c r="GJ41" s="492"/>
      <c r="GK41" s="507"/>
      <c r="GL41" s="476"/>
      <c r="GM41" s="493"/>
      <c r="GN41" s="492"/>
      <c r="GO41" s="507"/>
      <c r="GP41" s="476"/>
      <c r="GQ41" s="493"/>
      <c r="GR41" s="492"/>
      <c r="GS41" s="507"/>
      <c r="GT41" s="476"/>
      <c r="GU41" s="493"/>
      <c r="GV41" s="492"/>
      <c r="GW41" s="507"/>
      <c r="GX41" s="476"/>
      <c r="GY41" s="493"/>
      <c r="GZ41" s="492"/>
      <c r="HA41" s="507"/>
      <c r="HB41" s="476"/>
      <c r="HC41" s="493"/>
      <c r="HD41" s="576"/>
      <c r="HE41" s="909"/>
      <c r="HF41" s="580"/>
      <c r="HG41" s="918"/>
      <c r="HH41" s="576"/>
      <c r="HI41" s="925"/>
      <c r="HJ41" s="575"/>
      <c r="HK41" s="918"/>
      <c r="HL41" s="576"/>
      <c r="HM41" s="925"/>
      <c r="HN41" s="575"/>
      <c r="HO41" s="918"/>
      <c r="HP41" s="576"/>
      <c r="HQ41" s="925"/>
      <c r="HR41" s="575"/>
      <c r="HS41" s="918"/>
      <c r="HT41" s="576"/>
      <c r="HU41" s="925"/>
      <c r="HV41" s="575"/>
      <c r="HW41" s="918"/>
      <c r="HY41" s="492"/>
      <c r="HZ41" s="507"/>
      <c r="IA41" s="476"/>
      <c r="IB41" s="493"/>
      <c r="IC41" s="492"/>
      <c r="ID41" s="507"/>
      <c r="IE41" s="476"/>
      <c r="IF41" s="493"/>
      <c r="IG41" s="492"/>
      <c r="IH41" s="507"/>
      <c r="II41" s="476"/>
      <c r="IJ41" s="493"/>
    </row>
    <row r="42" spans="1:244">
      <c r="A42" s="554" t="s">
        <v>23</v>
      </c>
      <c r="B42" s="574">
        <f t="shared" si="0"/>
        <v>2007</v>
      </c>
      <c r="C42" s="575"/>
      <c r="D42" s="575"/>
      <c r="E42" s="575"/>
      <c r="F42" s="558"/>
      <c r="G42" s="575"/>
      <c r="H42" s="575"/>
      <c r="I42" s="575"/>
      <c r="J42" s="558"/>
      <c r="K42" s="575">
        <f>+K41</f>
        <v>13438469.49</v>
      </c>
      <c r="L42" s="575">
        <f>+L41</f>
        <v>76354.940284090917</v>
      </c>
      <c r="M42" s="575">
        <f>+K42-L42</f>
        <v>13362114.54971591</v>
      </c>
      <c r="N42" s="558">
        <f>+(((K$29*M42)*(12-K$32)/12))+L42</f>
        <v>474103.45259975147</v>
      </c>
      <c r="O42" s="576"/>
      <c r="P42" s="563"/>
      <c r="Q42" s="575"/>
      <c r="R42" s="558"/>
      <c r="S42" s="492"/>
      <c r="T42" s="507"/>
      <c r="U42" s="476"/>
      <c r="V42" s="493"/>
      <c r="W42" s="492"/>
      <c r="X42" s="507"/>
      <c r="Y42" s="476"/>
      <c r="Z42" s="493"/>
      <c r="AA42" s="492"/>
      <c r="AB42" s="507"/>
      <c r="AC42" s="476"/>
      <c r="AD42" s="493"/>
      <c r="AE42" s="492"/>
      <c r="AF42" s="507"/>
      <c r="AG42" s="476"/>
      <c r="AH42" s="493"/>
      <c r="AI42" s="492"/>
      <c r="AJ42" s="507"/>
      <c r="AK42" s="476"/>
      <c r="AL42" s="493"/>
      <c r="AM42" s="492"/>
      <c r="AN42" s="507"/>
      <c r="AO42" s="476"/>
      <c r="AP42" s="493"/>
      <c r="AQ42" s="492"/>
      <c r="AR42" s="507"/>
      <c r="AS42" s="476"/>
      <c r="AT42" s="493"/>
      <c r="AU42" s="576">
        <f>+AU41</f>
        <v>30000000</v>
      </c>
      <c r="AV42" s="563">
        <f>+AV41</f>
        <v>125000</v>
      </c>
      <c r="AW42" s="575">
        <f t="shared" si="1"/>
        <v>29875000</v>
      </c>
      <c r="AX42" s="558">
        <f>+AU$29*AW42+AV42</f>
        <v>125000</v>
      </c>
      <c r="AY42" s="576">
        <f>+AY41</f>
        <v>20000000</v>
      </c>
      <c r="AZ42" s="563">
        <f>+AZ41</f>
        <v>416666.66666666663</v>
      </c>
      <c r="BA42" s="575">
        <f t="shared" si="2"/>
        <v>19583333.333333332</v>
      </c>
      <c r="BB42" s="558">
        <f>+AY$29*BA42+AZ42</f>
        <v>416666.66666666663</v>
      </c>
      <c r="BC42" s="576"/>
      <c r="BD42" s="575"/>
      <c r="BE42" s="575"/>
      <c r="BF42" s="558"/>
      <c r="BG42" s="576"/>
      <c r="BH42" s="575"/>
      <c r="BI42" s="575"/>
      <c r="BJ42" s="558"/>
      <c r="BK42" s="576"/>
      <c r="BL42" s="575"/>
      <c r="BM42" s="575"/>
      <c r="BN42" s="558"/>
      <c r="BO42" s="576"/>
      <c r="BP42" s="575"/>
      <c r="BQ42" s="575"/>
      <c r="BR42" s="558"/>
      <c r="BS42" s="492"/>
      <c r="BT42" s="507"/>
      <c r="BU42" s="476"/>
      <c r="BV42" s="493"/>
      <c r="BW42" s="492"/>
      <c r="BX42" s="507"/>
      <c r="BY42" s="476"/>
      <c r="BZ42" s="493"/>
      <c r="CA42" s="492"/>
      <c r="CB42" s="507"/>
      <c r="CC42" s="476"/>
      <c r="CD42" s="493"/>
      <c r="CE42" s="492"/>
      <c r="CF42" s="507"/>
      <c r="CG42" s="476"/>
      <c r="CH42" s="493"/>
      <c r="CI42" s="492"/>
      <c r="CJ42" s="507"/>
      <c r="CK42" s="476"/>
      <c r="CL42" s="493"/>
      <c r="CM42" s="492"/>
      <c r="CN42" s="507"/>
      <c r="CO42" s="476"/>
      <c r="CP42" s="493"/>
      <c r="CQ42" s="492"/>
      <c r="CR42" s="507"/>
      <c r="CS42" s="476"/>
      <c r="CT42" s="493"/>
      <c r="CU42" s="492"/>
      <c r="CV42" s="507"/>
      <c r="CW42" s="476"/>
      <c r="CX42" s="493"/>
      <c r="CY42" s="492"/>
      <c r="CZ42" s="507"/>
      <c r="DA42" s="476"/>
      <c r="DB42" s="493"/>
      <c r="DC42" s="492"/>
      <c r="DD42" s="507"/>
      <c r="DE42" s="476"/>
      <c r="DF42" s="493"/>
      <c r="DG42" s="492"/>
      <c r="DH42" s="507"/>
      <c r="DI42" s="476"/>
      <c r="DJ42" s="493"/>
      <c r="DK42" s="492"/>
      <c r="DL42" s="507"/>
      <c r="DM42" s="476"/>
      <c r="DN42" s="493"/>
      <c r="DO42" s="492"/>
      <c r="DP42" s="507"/>
      <c r="DQ42" s="476"/>
      <c r="DR42" s="493"/>
      <c r="DS42" s="492"/>
      <c r="DT42" s="507"/>
      <c r="DU42" s="476"/>
      <c r="DV42" s="493"/>
      <c r="DW42" s="492"/>
      <c r="DX42" s="507"/>
      <c r="DY42" s="476"/>
      <c r="DZ42" s="493"/>
      <c r="EA42" s="492"/>
      <c r="EB42" s="507"/>
      <c r="EC42" s="476"/>
      <c r="ED42" s="493"/>
      <c r="EE42" s="492"/>
      <c r="EF42" s="507"/>
      <c r="EG42" s="476"/>
      <c r="EH42" s="493"/>
      <c r="EI42" s="492"/>
      <c r="EJ42" s="507"/>
      <c r="EK42" s="476"/>
      <c r="EL42" s="493"/>
      <c r="EM42" s="492"/>
      <c r="EN42" s="507"/>
      <c r="EO42" s="476"/>
      <c r="EP42" s="493"/>
      <c r="EQ42" s="492"/>
      <c r="ER42" s="507"/>
      <c r="ES42" s="476"/>
      <c r="ET42" s="493"/>
      <c r="EU42" s="492"/>
      <c r="EV42" s="507"/>
      <c r="EW42" s="476"/>
      <c r="EX42" s="493"/>
      <c r="EY42" s="582">
        <f t="shared" si="3"/>
        <v>474103.45259975147</v>
      </c>
      <c r="EZ42" s="579">
        <f>+EY42</f>
        <v>474103.45259975147</v>
      </c>
      <c r="FA42" s="553"/>
      <c r="FB42" s="581"/>
      <c r="FD42" s="492"/>
      <c r="FE42" s="507"/>
      <c r="FF42" s="476"/>
      <c r="FG42" s="493"/>
      <c r="FH42" s="492"/>
      <c r="FI42" s="507"/>
      <c r="FJ42" s="476"/>
      <c r="FK42" s="493"/>
      <c r="FL42" s="492"/>
      <c r="FM42" s="507"/>
      <c r="FN42" s="476"/>
      <c r="FO42" s="493"/>
      <c r="FP42" s="492"/>
      <c r="FQ42" s="507"/>
      <c r="FR42" s="476"/>
      <c r="FS42" s="493"/>
      <c r="FT42" s="492"/>
      <c r="FU42" s="507"/>
      <c r="FV42" s="476"/>
      <c r="FW42" s="493"/>
      <c r="FX42" s="492"/>
      <c r="FY42" s="507"/>
      <c r="FZ42" s="476"/>
      <c r="GA42" s="493"/>
      <c r="GB42" s="492"/>
      <c r="GC42" s="507"/>
      <c r="GD42" s="476"/>
      <c r="GE42" s="493"/>
      <c r="GF42" s="492"/>
      <c r="GG42" s="507"/>
      <c r="GH42" s="476"/>
      <c r="GI42" s="493"/>
      <c r="GJ42" s="492"/>
      <c r="GK42" s="507"/>
      <c r="GL42" s="476"/>
      <c r="GM42" s="493"/>
      <c r="GN42" s="492"/>
      <c r="GO42" s="507"/>
      <c r="GP42" s="476"/>
      <c r="GQ42" s="493"/>
      <c r="GR42" s="492"/>
      <c r="GS42" s="507"/>
      <c r="GT42" s="476"/>
      <c r="GU42" s="493"/>
      <c r="GV42" s="492"/>
      <c r="GW42" s="507"/>
      <c r="GX42" s="476"/>
      <c r="GY42" s="493"/>
      <c r="GZ42" s="492"/>
      <c r="HA42" s="507"/>
      <c r="HB42" s="476"/>
      <c r="HC42" s="493"/>
      <c r="HD42" s="576"/>
      <c r="HE42" s="909"/>
      <c r="HF42" s="580"/>
      <c r="HG42" s="918"/>
      <c r="HH42" s="576"/>
      <c r="HI42" s="925"/>
      <c r="HJ42" s="575"/>
      <c r="HK42" s="918"/>
      <c r="HL42" s="576"/>
      <c r="HM42" s="925"/>
      <c r="HN42" s="575"/>
      <c r="HO42" s="918"/>
      <c r="HP42" s="576"/>
      <c r="HQ42" s="925"/>
      <c r="HR42" s="575"/>
      <c r="HS42" s="918"/>
      <c r="HT42" s="576"/>
      <c r="HU42" s="925"/>
      <c r="HV42" s="575"/>
      <c r="HW42" s="918"/>
      <c r="HY42" s="492"/>
      <c r="HZ42" s="507"/>
      <c r="IA42" s="476"/>
      <c r="IB42" s="493"/>
      <c r="IC42" s="492"/>
      <c r="ID42" s="507"/>
      <c r="IE42" s="476"/>
      <c r="IF42" s="493"/>
      <c r="IG42" s="492"/>
      <c r="IH42" s="507"/>
      <c r="II42" s="476"/>
      <c r="IJ42" s="493"/>
    </row>
    <row r="43" spans="1:244">
      <c r="A43" s="554" t="s">
        <v>24</v>
      </c>
      <c r="B43" s="574">
        <f t="shared" si="0"/>
        <v>2008</v>
      </c>
      <c r="C43" s="575">
        <f>+C30</f>
        <v>19614847.300000001</v>
      </c>
      <c r="D43" s="575">
        <f>+C$31/12*(12-$C$32)</f>
        <v>111447.99602272728</v>
      </c>
      <c r="E43" s="575">
        <f>+C43-D43</f>
        <v>19503399.303977273</v>
      </c>
      <c r="F43" s="558">
        <f>+(((C$28*E43)*(12-C$32)/12))+D43</f>
        <v>660221.3334461404</v>
      </c>
      <c r="G43" s="575">
        <f>+G30</f>
        <v>5096992.9800000004</v>
      </c>
      <c r="H43" s="575">
        <f>+G$31/12*(12-$G$32)</f>
        <v>57920.374772727271</v>
      </c>
      <c r="I43" s="575">
        <f>+G43-H43</f>
        <v>5039072.605227273</v>
      </c>
      <c r="J43" s="558">
        <f>+(((G$28*I43)*(12-G$32)/12))+H43</f>
        <v>341492.34579067607</v>
      </c>
      <c r="K43" s="575">
        <f>+M41</f>
        <v>13362114.54971591</v>
      </c>
      <c r="L43" s="575">
        <f>+K$31</f>
        <v>305419.76113636367</v>
      </c>
      <c r="M43" s="575">
        <f>+K43-L43</f>
        <v>13056694.788579546</v>
      </c>
      <c r="N43" s="558">
        <f>+K$28*M43+L43</f>
        <v>1774941.2251996072</v>
      </c>
      <c r="O43" s="575"/>
      <c r="P43" s="575"/>
      <c r="Q43" s="575"/>
      <c r="R43" s="558"/>
      <c r="S43" s="476">
        <f>+S30</f>
        <v>2565891.0399999996</v>
      </c>
      <c r="T43" s="476">
        <f>+S$31/12*(12-$S$32)</f>
        <v>48596.421212121204</v>
      </c>
      <c r="U43" s="476">
        <f>+S43-T43</f>
        <v>2517294.6187878782</v>
      </c>
      <c r="V43" s="493">
        <f>+(((S$28*U43)*(12-S$32)/12))+T43</f>
        <v>284696.14716237516</v>
      </c>
      <c r="W43" s="476"/>
      <c r="X43" s="476"/>
      <c r="Y43" s="476"/>
      <c r="Z43" s="493"/>
      <c r="AA43" s="476"/>
      <c r="AB43" s="476"/>
      <c r="AC43" s="476"/>
      <c r="AD43" s="493"/>
      <c r="AE43" s="476"/>
      <c r="AF43" s="476"/>
      <c r="AG43" s="476"/>
      <c r="AH43" s="493"/>
      <c r="AI43" s="476"/>
      <c r="AJ43" s="476"/>
      <c r="AK43" s="476"/>
      <c r="AL43" s="493"/>
      <c r="AM43" s="476"/>
      <c r="AN43" s="476"/>
      <c r="AO43" s="476"/>
      <c r="AP43" s="493"/>
      <c r="AQ43" s="476"/>
      <c r="AR43" s="476"/>
      <c r="AS43" s="476"/>
      <c r="AT43" s="493"/>
      <c r="AU43" s="576">
        <f>+AW42</f>
        <v>29875000</v>
      </c>
      <c r="AV43" s="575">
        <f>+AU$31</f>
        <v>750000</v>
      </c>
      <c r="AW43" s="575">
        <f t="shared" si="1"/>
        <v>29125000</v>
      </c>
      <c r="AX43" s="558">
        <f>+AU$28*AW43+AV43</f>
        <v>750000</v>
      </c>
      <c r="AY43" s="576">
        <f>+BA42</f>
        <v>19583333.333333332</v>
      </c>
      <c r="AZ43" s="575">
        <f>+AY$31</f>
        <v>500000</v>
      </c>
      <c r="BA43" s="575">
        <f t="shared" si="2"/>
        <v>19083333.333333332</v>
      </c>
      <c r="BB43" s="558">
        <f>+AY$28*BA43+AZ43</f>
        <v>500000</v>
      </c>
      <c r="BC43" s="576">
        <f>+BC$30</f>
        <v>30000000</v>
      </c>
      <c r="BD43" s="563">
        <f>+BC$31/12*(12-BC$32)</f>
        <v>500000</v>
      </c>
      <c r="BE43" s="575">
        <f t="shared" ref="BE43:BE76" si="4">+BC43-BD43</f>
        <v>29500000</v>
      </c>
      <c r="BF43" s="558">
        <f>+BC$28*BE43+BD43</f>
        <v>500000</v>
      </c>
      <c r="BG43" s="576">
        <f>+BG$30</f>
        <v>20000000</v>
      </c>
      <c r="BH43" s="563">
        <f>+BG$31/12*(12-BG$32)</f>
        <v>47619.047619047626</v>
      </c>
      <c r="BI43" s="575">
        <f t="shared" ref="BI43:BI76" si="5">+BG43-BH43</f>
        <v>19952380.952380951</v>
      </c>
      <c r="BJ43" s="558">
        <f>+BG$28*BI43+BH43</f>
        <v>47619.047619047626</v>
      </c>
      <c r="BK43" s="576"/>
      <c r="BL43" s="575"/>
      <c r="BM43" s="575"/>
      <c r="BN43" s="558"/>
      <c r="BO43" s="576"/>
      <c r="BP43" s="575"/>
      <c r="BQ43" s="575"/>
      <c r="BR43" s="558"/>
      <c r="BS43" s="476"/>
      <c r="BT43" s="476"/>
      <c r="BU43" s="476"/>
      <c r="BV43" s="493"/>
      <c r="BW43" s="476"/>
      <c r="BX43" s="476"/>
      <c r="BY43" s="476"/>
      <c r="BZ43" s="493"/>
      <c r="CA43" s="476"/>
      <c r="CB43" s="476"/>
      <c r="CC43" s="476"/>
      <c r="CD43" s="493"/>
      <c r="CE43" s="476"/>
      <c r="CF43" s="476"/>
      <c r="CG43" s="476"/>
      <c r="CH43" s="493"/>
      <c r="CI43" s="476"/>
      <c r="CJ43" s="476"/>
      <c r="CK43" s="476"/>
      <c r="CL43" s="493"/>
      <c r="CM43" s="476"/>
      <c r="CN43" s="476"/>
      <c r="CO43" s="476"/>
      <c r="CP43" s="493"/>
      <c r="CQ43" s="476"/>
      <c r="CR43" s="476"/>
      <c r="CS43" s="476"/>
      <c r="CT43" s="493"/>
      <c r="CU43" s="476"/>
      <c r="CV43" s="476"/>
      <c r="CW43" s="476"/>
      <c r="CX43" s="493"/>
      <c r="CY43" s="476"/>
      <c r="CZ43" s="476"/>
      <c r="DA43" s="476"/>
      <c r="DB43" s="493"/>
      <c r="DC43" s="476"/>
      <c r="DD43" s="476"/>
      <c r="DE43" s="476"/>
      <c r="DF43" s="493"/>
      <c r="DG43" s="476"/>
      <c r="DH43" s="476"/>
      <c r="DI43" s="476"/>
      <c r="DJ43" s="493"/>
      <c r="DK43" s="476"/>
      <c r="DL43" s="476"/>
      <c r="DM43" s="476"/>
      <c r="DN43" s="493"/>
      <c r="DO43" s="492"/>
      <c r="DP43" s="476"/>
      <c r="DQ43" s="476"/>
      <c r="DR43" s="493"/>
      <c r="DS43" s="492"/>
      <c r="DT43" s="476"/>
      <c r="DU43" s="476"/>
      <c r="DV43" s="493"/>
      <c r="DW43" s="492"/>
      <c r="DX43" s="476"/>
      <c r="DY43" s="476"/>
      <c r="DZ43" s="493"/>
      <c r="EA43" s="492"/>
      <c r="EB43" s="476"/>
      <c r="EC43" s="476"/>
      <c r="ED43" s="493"/>
      <c r="EE43" s="492"/>
      <c r="EF43" s="476"/>
      <c r="EG43" s="476"/>
      <c r="EH43" s="493"/>
      <c r="EI43" s="492"/>
      <c r="EJ43" s="476"/>
      <c r="EK43" s="476"/>
      <c r="EL43" s="493"/>
      <c r="EM43" s="492"/>
      <c r="EN43" s="476"/>
      <c r="EO43" s="476"/>
      <c r="EP43" s="493"/>
      <c r="EQ43" s="492"/>
      <c r="ER43" s="476"/>
      <c r="ES43" s="476"/>
      <c r="ET43" s="493"/>
      <c r="EU43" s="492"/>
      <c r="EV43" s="476"/>
      <c r="EW43" s="476"/>
      <c r="EX43" s="493"/>
      <c r="EY43" s="582">
        <f t="shared" si="3"/>
        <v>3061351.0515987985</v>
      </c>
      <c r="EZ43" s="557"/>
      <c r="FA43" s="578">
        <f>+EY43</f>
        <v>3061351.0515987985</v>
      </c>
      <c r="FB43" s="581"/>
      <c r="FD43" s="492"/>
      <c r="FE43" s="476"/>
      <c r="FF43" s="476"/>
      <c r="FG43" s="493"/>
      <c r="FH43" s="492"/>
      <c r="FI43" s="476"/>
      <c r="FJ43" s="476"/>
      <c r="FK43" s="493"/>
      <c r="FL43" s="492"/>
      <c r="FM43" s="476"/>
      <c r="FN43" s="476"/>
      <c r="FO43" s="493"/>
      <c r="FP43" s="492"/>
      <c r="FQ43" s="476"/>
      <c r="FR43" s="476"/>
      <c r="FS43" s="493"/>
      <c r="FT43" s="492"/>
      <c r="FU43" s="476"/>
      <c r="FV43" s="476"/>
      <c r="FW43" s="493"/>
      <c r="FX43" s="492"/>
      <c r="FY43" s="476"/>
      <c r="FZ43" s="476"/>
      <c r="GA43" s="493"/>
      <c r="GB43" s="492"/>
      <c r="GC43" s="476"/>
      <c r="GD43" s="476"/>
      <c r="GE43" s="493"/>
      <c r="GF43" s="492"/>
      <c r="GG43" s="476"/>
      <c r="GH43" s="476"/>
      <c r="GI43" s="493"/>
      <c r="GJ43" s="492"/>
      <c r="GK43" s="476"/>
      <c r="GL43" s="476"/>
      <c r="GM43" s="493"/>
      <c r="GN43" s="492"/>
      <c r="GO43" s="476"/>
      <c r="GP43" s="476"/>
      <c r="GQ43" s="493"/>
      <c r="GR43" s="492"/>
      <c r="GS43" s="476"/>
      <c r="GT43" s="476"/>
      <c r="GU43" s="493"/>
      <c r="GV43" s="492"/>
      <c r="GW43" s="476"/>
      <c r="GX43" s="476"/>
      <c r="GY43" s="493"/>
      <c r="GZ43" s="492"/>
      <c r="HA43" s="476"/>
      <c r="HB43" s="476"/>
      <c r="HC43" s="493"/>
      <c r="HD43" s="576"/>
      <c r="HE43" s="580"/>
      <c r="HF43" s="580"/>
      <c r="HG43" s="918"/>
      <c r="HH43" s="576"/>
      <c r="HI43" s="575"/>
      <c r="HJ43" s="575"/>
      <c r="HK43" s="918"/>
      <c r="HL43" s="576"/>
      <c r="HM43" s="575"/>
      <c r="HN43" s="575"/>
      <c r="HO43" s="918"/>
      <c r="HP43" s="576"/>
      <c r="HQ43" s="575"/>
      <c r="HR43" s="575"/>
      <c r="HS43" s="918"/>
      <c r="HT43" s="576"/>
      <c r="HU43" s="575"/>
      <c r="HV43" s="575"/>
      <c r="HW43" s="918"/>
      <c r="HY43" s="492"/>
      <c r="HZ43" s="476"/>
      <c r="IA43" s="476"/>
      <c r="IB43" s="493"/>
      <c r="IC43" s="492"/>
      <c r="ID43" s="476"/>
      <c r="IE43" s="476"/>
      <c r="IF43" s="493"/>
      <c r="IG43" s="492"/>
      <c r="IH43" s="476"/>
      <c r="II43" s="476"/>
      <c r="IJ43" s="493"/>
    </row>
    <row r="44" spans="1:244">
      <c r="A44" s="554" t="s">
        <v>23</v>
      </c>
      <c r="B44" s="574">
        <f t="shared" si="0"/>
        <v>2008</v>
      </c>
      <c r="C44" s="575">
        <f>+C43</f>
        <v>19614847.300000001</v>
      </c>
      <c r="D44" s="575">
        <f>+D43</f>
        <v>111447.99602272728</v>
      </c>
      <c r="E44" s="575">
        <f>+C44-D44</f>
        <v>19503399.303977273</v>
      </c>
      <c r="F44" s="558">
        <f>+(((C$29*E44)*(12-C$32)/12))+D44</f>
        <v>692003.41854903544</v>
      </c>
      <c r="G44" s="575">
        <f>+G43</f>
        <v>5096992.9800000004</v>
      </c>
      <c r="H44" s="575">
        <f>+H43</f>
        <v>57920.374772727271</v>
      </c>
      <c r="I44" s="575">
        <f>+G44-H44</f>
        <v>5039072.605227273</v>
      </c>
      <c r="J44" s="558">
        <f>+(((G$29*I44)*(12-G$32)/12))+H44</f>
        <v>357915.35307088302</v>
      </c>
      <c r="K44" s="575">
        <f>+K43</f>
        <v>13362114.54971591</v>
      </c>
      <c r="L44" s="575">
        <f>+L43</f>
        <v>305419.76113636367</v>
      </c>
      <c r="M44" s="575">
        <f>+K44-L44</f>
        <v>13056694.788579546</v>
      </c>
      <c r="N44" s="558">
        <f>+K$29*M44+L44</f>
        <v>1860048.2321301457</v>
      </c>
      <c r="O44" s="575"/>
      <c r="P44" s="575"/>
      <c r="Q44" s="575"/>
      <c r="R44" s="558"/>
      <c r="S44" s="476">
        <f>+S43</f>
        <v>2565891.0399999996</v>
      </c>
      <c r="T44" s="476">
        <f>+T43</f>
        <v>48596.421212121204</v>
      </c>
      <c r="U44" s="476">
        <f>+S44-T44</f>
        <v>2517294.6187878782</v>
      </c>
      <c r="V44" s="493">
        <f>+(((S$29*U44)*(12-S$32)/12))+T44</f>
        <v>298369.80998672545</v>
      </c>
      <c r="W44" s="476"/>
      <c r="X44" s="476"/>
      <c r="Y44" s="476"/>
      <c r="Z44" s="493"/>
      <c r="AA44" s="476"/>
      <c r="AB44" s="476"/>
      <c r="AC44" s="476"/>
      <c r="AD44" s="493"/>
      <c r="AE44" s="476"/>
      <c r="AF44" s="476"/>
      <c r="AG44" s="476"/>
      <c r="AH44" s="493"/>
      <c r="AI44" s="476"/>
      <c r="AJ44" s="476"/>
      <c r="AK44" s="476"/>
      <c r="AL44" s="493"/>
      <c r="AM44" s="476"/>
      <c r="AN44" s="476"/>
      <c r="AO44" s="476"/>
      <c r="AP44" s="493"/>
      <c r="AQ44" s="476"/>
      <c r="AR44" s="476"/>
      <c r="AS44" s="476"/>
      <c r="AT44" s="493"/>
      <c r="AU44" s="576">
        <f>+AU43</f>
        <v>29875000</v>
      </c>
      <c r="AV44" s="575">
        <f>+AV43</f>
        <v>750000</v>
      </c>
      <c r="AW44" s="575">
        <f t="shared" si="1"/>
        <v>29125000</v>
      </c>
      <c r="AX44" s="558">
        <f>+AU$29*AW44+AV44</f>
        <v>750000</v>
      </c>
      <c r="AY44" s="576">
        <f>+AY43</f>
        <v>19583333.333333332</v>
      </c>
      <c r="AZ44" s="575">
        <f>+AZ43</f>
        <v>500000</v>
      </c>
      <c r="BA44" s="575">
        <f t="shared" si="2"/>
        <v>19083333.333333332</v>
      </c>
      <c r="BB44" s="558">
        <f>+AY$29*BA44+AZ44</f>
        <v>500000</v>
      </c>
      <c r="BC44" s="576">
        <f>+BC43</f>
        <v>30000000</v>
      </c>
      <c r="BD44" s="563">
        <f>+BD43</f>
        <v>500000</v>
      </c>
      <c r="BE44" s="575">
        <f t="shared" si="4"/>
        <v>29500000</v>
      </c>
      <c r="BF44" s="558">
        <f>+BC$29*BE44+BD44</f>
        <v>500000</v>
      </c>
      <c r="BG44" s="576">
        <f>+BG43</f>
        <v>20000000</v>
      </c>
      <c r="BH44" s="563">
        <f>+BH43</f>
        <v>47619.047619047626</v>
      </c>
      <c r="BI44" s="575">
        <f t="shared" si="5"/>
        <v>19952380.952380951</v>
      </c>
      <c r="BJ44" s="558">
        <f>+BG$29*BI44+BH44</f>
        <v>47619.047619047626</v>
      </c>
      <c r="BK44" s="576"/>
      <c r="BL44" s="575"/>
      <c r="BM44" s="575"/>
      <c r="BN44" s="558"/>
      <c r="BO44" s="576"/>
      <c r="BP44" s="575"/>
      <c r="BQ44" s="575"/>
      <c r="BR44" s="558"/>
      <c r="BS44" s="476"/>
      <c r="BT44" s="476"/>
      <c r="BU44" s="476"/>
      <c r="BV44" s="493"/>
      <c r="BW44" s="476"/>
      <c r="BX44" s="476"/>
      <c r="BY44" s="476"/>
      <c r="BZ44" s="493"/>
      <c r="CA44" s="476"/>
      <c r="CB44" s="476"/>
      <c r="CC44" s="476"/>
      <c r="CD44" s="493"/>
      <c r="CE44" s="476"/>
      <c r="CF44" s="476"/>
      <c r="CG44" s="476"/>
      <c r="CH44" s="493"/>
      <c r="CI44" s="476"/>
      <c r="CJ44" s="476"/>
      <c r="CK44" s="476"/>
      <c r="CL44" s="493"/>
      <c r="CM44" s="476"/>
      <c r="CN44" s="476"/>
      <c r="CO44" s="476"/>
      <c r="CP44" s="493"/>
      <c r="CQ44" s="476"/>
      <c r="CR44" s="476"/>
      <c r="CS44" s="476"/>
      <c r="CT44" s="493"/>
      <c r="CU44" s="476"/>
      <c r="CV44" s="476"/>
      <c r="CW44" s="476"/>
      <c r="CX44" s="493"/>
      <c r="CY44" s="476"/>
      <c r="CZ44" s="476"/>
      <c r="DA44" s="476"/>
      <c r="DB44" s="493"/>
      <c r="DC44" s="476"/>
      <c r="DD44" s="476"/>
      <c r="DE44" s="476"/>
      <c r="DF44" s="493"/>
      <c r="DG44" s="476"/>
      <c r="DH44" s="476"/>
      <c r="DI44" s="476"/>
      <c r="DJ44" s="493"/>
      <c r="DK44" s="476"/>
      <c r="DL44" s="476"/>
      <c r="DM44" s="476"/>
      <c r="DN44" s="493"/>
      <c r="DO44" s="492"/>
      <c r="DP44" s="476"/>
      <c r="DQ44" s="476"/>
      <c r="DR44" s="493"/>
      <c r="DS44" s="492"/>
      <c r="DT44" s="476"/>
      <c r="DU44" s="476"/>
      <c r="DV44" s="493"/>
      <c r="DW44" s="492"/>
      <c r="DX44" s="476"/>
      <c r="DY44" s="476"/>
      <c r="DZ44" s="493"/>
      <c r="EA44" s="492"/>
      <c r="EB44" s="476"/>
      <c r="EC44" s="476"/>
      <c r="ED44" s="493"/>
      <c r="EE44" s="492"/>
      <c r="EF44" s="476"/>
      <c r="EG44" s="476"/>
      <c r="EH44" s="493"/>
      <c r="EI44" s="492"/>
      <c r="EJ44" s="476"/>
      <c r="EK44" s="476"/>
      <c r="EL44" s="493"/>
      <c r="EM44" s="492"/>
      <c r="EN44" s="476"/>
      <c r="EO44" s="476"/>
      <c r="EP44" s="493"/>
      <c r="EQ44" s="492"/>
      <c r="ER44" s="476"/>
      <c r="ES44" s="476"/>
      <c r="ET44" s="493"/>
      <c r="EU44" s="492"/>
      <c r="EV44" s="476"/>
      <c r="EW44" s="476"/>
      <c r="EX44" s="493"/>
      <c r="EY44" s="582">
        <f t="shared" si="3"/>
        <v>3208336.8137367899</v>
      </c>
      <c r="EZ44" s="579">
        <f>+EY44</f>
        <v>3208336.8137367899</v>
      </c>
      <c r="FA44" s="553"/>
      <c r="FB44" s="581"/>
      <c r="FD44" s="492"/>
      <c r="FE44" s="476"/>
      <c r="FF44" s="476"/>
      <c r="FG44" s="493"/>
      <c r="FH44" s="492"/>
      <c r="FI44" s="476"/>
      <c r="FJ44" s="476"/>
      <c r="FK44" s="493"/>
      <c r="FL44" s="492"/>
      <c r="FM44" s="476"/>
      <c r="FN44" s="476"/>
      <c r="FO44" s="493"/>
      <c r="FP44" s="492"/>
      <c r="FQ44" s="476"/>
      <c r="FR44" s="476"/>
      <c r="FS44" s="493"/>
      <c r="FT44" s="492"/>
      <c r="FU44" s="476"/>
      <c r="FV44" s="476"/>
      <c r="FW44" s="493"/>
      <c r="FX44" s="492"/>
      <c r="FY44" s="476"/>
      <c r="FZ44" s="476"/>
      <c r="GA44" s="493"/>
      <c r="GB44" s="492"/>
      <c r="GC44" s="476"/>
      <c r="GD44" s="476"/>
      <c r="GE44" s="493"/>
      <c r="GF44" s="492"/>
      <c r="GG44" s="476"/>
      <c r="GH44" s="476"/>
      <c r="GI44" s="493"/>
      <c r="GJ44" s="492"/>
      <c r="GK44" s="476"/>
      <c r="GL44" s="476"/>
      <c r="GM44" s="493"/>
      <c r="GN44" s="492"/>
      <c r="GO44" s="476"/>
      <c r="GP44" s="476"/>
      <c r="GQ44" s="493"/>
      <c r="GR44" s="492"/>
      <c r="GS44" s="476"/>
      <c r="GT44" s="476"/>
      <c r="GU44" s="493"/>
      <c r="GV44" s="492"/>
      <c r="GW44" s="476"/>
      <c r="GX44" s="476"/>
      <c r="GY44" s="493"/>
      <c r="GZ44" s="492"/>
      <c r="HA44" s="476"/>
      <c r="HB44" s="476"/>
      <c r="HC44" s="493"/>
      <c r="HD44" s="576"/>
      <c r="HE44" s="580"/>
      <c r="HF44" s="580"/>
      <c r="HG44" s="918"/>
      <c r="HH44" s="576"/>
      <c r="HI44" s="575"/>
      <c r="HJ44" s="575"/>
      <c r="HK44" s="918"/>
      <c r="HL44" s="576"/>
      <c r="HM44" s="575"/>
      <c r="HN44" s="575"/>
      <c r="HO44" s="918"/>
      <c r="HP44" s="576"/>
      <c r="HQ44" s="575"/>
      <c r="HR44" s="575"/>
      <c r="HS44" s="918"/>
      <c r="HT44" s="576"/>
      <c r="HU44" s="575"/>
      <c r="HV44" s="575"/>
      <c r="HW44" s="918"/>
      <c r="HY44" s="492"/>
      <c r="HZ44" s="476"/>
      <c r="IA44" s="476"/>
      <c r="IB44" s="493"/>
      <c r="IC44" s="492"/>
      <c r="ID44" s="476"/>
      <c r="IE44" s="476"/>
      <c r="IF44" s="493"/>
      <c r="IG44" s="492"/>
      <c r="IH44" s="476"/>
      <c r="II44" s="476"/>
      <c r="IJ44" s="493"/>
    </row>
    <row r="45" spans="1:244">
      <c r="A45" s="554" t="s">
        <v>24</v>
      </c>
      <c r="B45" s="574">
        <f t="shared" si="0"/>
        <v>2009</v>
      </c>
      <c r="C45" s="575">
        <f>+E44</f>
        <v>19503399.303977273</v>
      </c>
      <c r="D45" s="575">
        <f>+C$31</f>
        <v>445791.98409090913</v>
      </c>
      <c r="E45" s="575">
        <f t="shared" ref="E45:E108" si="6">+C45-D45</f>
        <v>19057607.319886364</v>
      </c>
      <c r="F45" s="558">
        <f>+C$28*E45+D45</f>
        <v>2590711.7715058494</v>
      </c>
      <c r="G45" s="575">
        <f>+I44</f>
        <v>5039072.605227273</v>
      </c>
      <c r="H45" s="575">
        <f>+G$31</f>
        <v>115840.74954545456</v>
      </c>
      <c r="I45" s="575">
        <f t="shared" ref="I45:I108" si="7">+G45-H45</f>
        <v>4923231.855681818</v>
      </c>
      <c r="J45" s="558">
        <f>+G$28*I45+H45</f>
        <v>669946.89981041197</v>
      </c>
      <c r="K45" s="575">
        <f>+M44</f>
        <v>13056694.788579546</v>
      </c>
      <c r="L45" s="575">
        <f>+K$31</f>
        <v>305419.76113636367</v>
      </c>
      <c r="M45" s="575">
        <f t="shared" ref="M45:M108" si="8">+K45-L45</f>
        <v>12751275.027443182</v>
      </c>
      <c r="N45" s="558">
        <f>+K$28*M45+L45</f>
        <v>1740566.4541104084</v>
      </c>
      <c r="O45" s="575">
        <f>+O30</f>
        <v>5249918</v>
      </c>
      <c r="P45" s="575">
        <f>+O$31/12*(12-$O$32)</f>
        <v>19886.053030303028</v>
      </c>
      <c r="Q45" s="575">
        <f>+O45-P45</f>
        <v>5230031.9469696973</v>
      </c>
      <c r="R45" s="558">
        <f>+(((O$28*Q45)*(12-O$32)/12))+P45</f>
        <v>117992.09911442813</v>
      </c>
      <c r="S45" s="492">
        <f>+U44</f>
        <v>2517294.6187878782</v>
      </c>
      <c r="T45" s="476">
        <f>+S$31</f>
        <v>58315.705454545445</v>
      </c>
      <c r="U45" s="476">
        <f>+S45-T45</f>
        <v>2458978.9133333326</v>
      </c>
      <c r="V45" s="493">
        <f>+S$28*U45+T45</f>
        <v>335071.98652982374</v>
      </c>
      <c r="W45" s="476">
        <f>+W30</f>
        <v>30504919</v>
      </c>
      <c r="X45" s="476">
        <f>+W$31/12*(12-$W$32)</f>
        <v>115548.93560606061</v>
      </c>
      <c r="Y45" s="476">
        <f>+W45-X45</f>
        <v>30389370.064393938</v>
      </c>
      <c r="Z45" s="493">
        <f>+(((W$28*Y45)*(12-W$32)/12))+X45</f>
        <v>685599.17052525422</v>
      </c>
      <c r="AA45" s="476">
        <f>+AA30</f>
        <v>19836665</v>
      </c>
      <c r="AB45" s="476">
        <f>+AA$31/12*(12-$AA$32)</f>
        <v>37569.441287878792</v>
      </c>
      <c r="AC45" s="476">
        <f>+AA45-AB45</f>
        <v>19799095.558712121</v>
      </c>
      <c r="AD45" s="493">
        <f>+(((AA$28*AC45)*(12-AA$32)/12))+AB45</f>
        <v>223267.2535576919</v>
      </c>
      <c r="AE45" s="476">
        <f>+AE30</f>
        <v>202307</v>
      </c>
      <c r="AF45" s="476">
        <f>+AE$31/12*(12-$AE$32)</f>
        <v>2298.943181818182</v>
      </c>
      <c r="AG45" s="476">
        <f>+AE45-AF45</f>
        <v>200008.05681818182</v>
      </c>
      <c r="AH45" s="493">
        <f>+(((AE$28*AG45)*(12-AE$32)/12))+AF45</f>
        <v>13554.323553310896</v>
      </c>
      <c r="AI45" s="476"/>
      <c r="AJ45" s="476"/>
      <c r="AK45" s="476"/>
      <c r="AL45" s="493"/>
      <c r="AM45" s="476"/>
      <c r="AN45" s="476"/>
      <c r="AO45" s="476"/>
      <c r="AP45" s="493"/>
      <c r="AQ45" s="476"/>
      <c r="AR45" s="476"/>
      <c r="AS45" s="476"/>
      <c r="AT45" s="493"/>
      <c r="AU45" s="576">
        <f>+AW44</f>
        <v>29125000</v>
      </c>
      <c r="AV45" s="575">
        <f>+AU$31</f>
        <v>750000</v>
      </c>
      <c r="AW45" s="575">
        <f t="shared" si="1"/>
        <v>28375000</v>
      </c>
      <c r="AX45" s="558">
        <f>+AU$28*AW45+AV45</f>
        <v>750000</v>
      </c>
      <c r="AY45" s="576">
        <f>+BA44</f>
        <v>19083333.333333332</v>
      </c>
      <c r="AZ45" s="575">
        <f>+AY$31</f>
        <v>500000</v>
      </c>
      <c r="BA45" s="575">
        <f t="shared" si="2"/>
        <v>18583333.333333332</v>
      </c>
      <c r="BB45" s="558">
        <f>+AY$28*BA45+AZ45</f>
        <v>500000</v>
      </c>
      <c r="BC45" s="576">
        <f>+BE44</f>
        <v>29500000</v>
      </c>
      <c r="BD45" s="575">
        <f>+BC$31</f>
        <v>750000</v>
      </c>
      <c r="BE45" s="575">
        <f t="shared" si="4"/>
        <v>28750000</v>
      </c>
      <c r="BF45" s="558">
        <f>+BC$28*BE45+BD45</f>
        <v>750000</v>
      </c>
      <c r="BG45" s="576">
        <f>+BI44</f>
        <v>19952380.952380951</v>
      </c>
      <c r="BH45" s="575">
        <f>+BG$31</f>
        <v>571428.57142857148</v>
      </c>
      <c r="BI45" s="575">
        <f t="shared" si="5"/>
        <v>19380952.380952381</v>
      </c>
      <c r="BJ45" s="558">
        <f>+BG$28*BI45+BH45</f>
        <v>571428.57142857148</v>
      </c>
      <c r="BK45" s="576">
        <f>+BK$30</f>
        <v>30000000</v>
      </c>
      <c r="BL45" s="563">
        <f>+BK$31/12*(12-BK$32)</f>
        <v>400000</v>
      </c>
      <c r="BM45" s="575">
        <f t="shared" ref="BM45:BM76" si="9">+BK45-BL45</f>
        <v>29600000</v>
      </c>
      <c r="BN45" s="558">
        <f>+BK$28*BM45+BL45</f>
        <v>400000</v>
      </c>
      <c r="BO45" s="576">
        <f>+BO$30</f>
        <v>20000000</v>
      </c>
      <c r="BP45" s="563">
        <f>+BO$31/12*(12-BO$32)</f>
        <v>166666.66666666666</v>
      </c>
      <c r="BQ45" s="575">
        <f t="shared" ref="BQ45:BQ76" si="10">+BO45-BP45</f>
        <v>19833333.333333332</v>
      </c>
      <c r="BR45" s="558">
        <f>+BO$28*BQ45+BP45</f>
        <v>166666.66666666666</v>
      </c>
      <c r="BS45" s="476"/>
      <c r="BT45" s="476"/>
      <c r="BU45" s="476"/>
      <c r="BV45" s="493"/>
      <c r="BW45" s="476"/>
      <c r="BX45" s="476"/>
      <c r="BY45" s="476"/>
      <c r="BZ45" s="493"/>
      <c r="CA45" s="476"/>
      <c r="CB45" s="476"/>
      <c r="CC45" s="476"/>
      <c r="CD45" s="493"/>
      <c r="CE45" s="476"/>
      <c r="CF45" s="476"/>
      <c r="CG45" s="476"/>
      <c r="CH45" s="493"/>
      <c r="CI45" s="476"/>
      <c r="CJ45" s="476"/>
      <c r="CK45" s="476"/>
      <c r="CL45" s="493"/>
      <c r="CM45" s="476"/>
      <c r="CN45" s="476"/>
      <c r="CO45" s="476"/>
      <c r="CP45" s="493"/>
      <c r="CQ45" s="476"/>
      <c r="CR45" s="476"/>
      <c r="CS45" s="476"/>
      <c r="CT45" s="493"/>
      <c r="CU45" s="476"/>
      <c r="CV45" s="476"/>
      <c r="CW45" s="476"/>
      <c r="CX45" s="493"/>
      <c r="CY45" s="476"/>
      <c r="CZ45" s="476"/>
      <c r="DA45" s="476"/>
      <c r="DB45" s="493"/>
      <c r="DC45" s="476"/>
      <c r="DD45" s="476"/>
      <c r="DE45" s="476"/>
      <c r="DF45" s="493"/>
      <c r="DG45" s="476"/>
      <c r="DH45" s="476"/>
      <c r="DI45" s="476"/>
      <c r="DJ45" s="493"/>
      <c r="DK45" s="476"/>
      <c r="DL45" s="476"/>
      <c r="DM45" s="476"/>
      <c r="DN45" s="493"/>
      <c r="DO45" s="492"/>
      <c r="DP45" s="476"/>
      <c r="DQ45" s="476"/>
      <c r="DR45" s="493"/>
      <c r="DS45" s="492"/>
      <c r="DT45" s="476"/>
      <c r="DU45" s="476"/>
      <c r="DV45" s="493"/>
      <c r="DW45" s="492"/>
      <c r="DX45" s="476"/>
      <c r="DY45" s="476"/>
      <c r="DZ45" s="493"/>
      <c r="EA45" s="492"/>
      <c r="EB45" s="476"/>
      <c r="EC45" s="476"/>
      <c r="ED45" s="493"/>
      <c r="EE45" s="492"/>
      <c r="EF45" s="476"/>
      <c r="EG45" s="476"/>
      <c r="EH45" s="493"/>
      <c r="EI45" s="492"/>
      <c r="EJ45" s="476"/>
      <c r="EK45" s="476"/>
      <c r="EL45" s="493"/>
      <c r="EM45" s="492"/>
      <c r="EN45" s="476"/>
      <c r="EO45" s="476"/>
      <c r="EP45" s="493"/>
      <c r="EQ45" s="492"/>
      <c r="ER45" s="476"/>
      <c r="ES45" s="476"/>
      <c r="ET45" s="493"/>
      <c r="EU45" s="492"/>
      <c r="EV45" s="476"/>
      <c r="EW45" s="476"/>
      <c r="EX45" s="493"/>
      <c r="EY45" s="582">
        <f t="shared" si="3"/>
        <v>6376709.9587071789</v>
      </c>
      <c r="EZ45" s="557"/>
      <c r="FA45" s="578">
        <f>+EY45</f>
        <v>6376709.9587071789</v>
      </c>
      <c r="FD45" s="492"/>
      <c r="FE45" s="476"/>
      <c r="FF45" s="476"/>
      <c r="FG45" s="493"/>
      <c r="FH45" s="492"/>
      <c r="FI45" s="476"/>
      <c r="FJ45" s="476"/>
      <c r="FK45" s="493"/>
      <c r="FL45" s="492"/>
      <c r="FM45" s="476"/>
      <c r="FN45" s="476"/>
      <c r="FO45" s="493"/>
      <c r="FP45" s="492"/>
      <c r="FQ45" s="476"/>
      <c r="FR45" s="476"/>
      <c r="FS45" s="493"/>
      <c r="FT45" s="492"/>
      <c r="FU45" s="476"/>
      <c r="FV45" s="476"/>
      <c r="FW45" s="493"/>
      <c r="FX45" s="492"/>
      <c r="FY45" s="476"/>
      <c r="FZ45" s="476"/>
      <c r="GA45" s="493"/>
      <c r="GB45" s="492"/>
      <c r="GC45" s="476"/>
      <c r="GD45" s="476"/>
      <c r="GE45" s="493"/>
      <c r="GF45" s="492"/>
      <c r="GG45" s="476"/>
      <c r="GH45" s="476"/>
      <c r="GI45" s="493"/>
      <c r="GJ45" s="492"/>
      <c r="GK45" s="476"/>
      <c r="GL45" s="476"/>
      <c r="GM45" s="493"/>
      <c r="GN45" s="492"/>
      <c r="GO45" s="476"/>
      <c r="GP45" s="476"/>
      <c r="GQ45" s="493"/>
      <c r="GR45" s="492"/>
      <c r="GS45" s="476"/>
      <c r="GT45" s="476"/>
      <c r="GU45" s="493"/>
      <c r="GV45" s="492"/>
      <c r="GW45" s="476"/>
      <c r="GX45" s="476"/>
      <c r="GY45" s="493"/>
      <c r="GZ45" s="492"/>
      <c r="HA45" s="476"/>
      <c r="HB45" s="476"/>
      <c r="HC45" s="493"/>
      <c r="HD45" s="576"/>
      <c r="HE45" s="580"/>
      <c r="HF45" s="580"/>
      <c r="HG45" s="918"/>
      <c r="HH45" s="576"/>
      <c r="HI45" s="575"/>
      <c r="HJ45" s="575"/>
      <c r="HK45" s="918"/>
      <c r="HL45" s="576"/>
      <c r="HM45" s="575"/>
      <c r="HN45" s="575"/>
      <c r="HO45" s="918"/>
      <c r="HP45" s="576"/>
      <c r="HQ45" s="575"/>
      <c r="HR45" s="575"/>
      <c r="HS45" s="918"/>
      <c r="HT45" s="576"/>
      <c r="HU45" s="575"/>
      <c r="HV45" s="575"/>
      <c r="HW45" s="918"/>
      <c r="HY45" s="492"/>
      <c r="HZ45" s="476"/>
      <c r="IA45" s="476"/>
      <c r="IB45" s="493"/>
      <c r="IC45" s="492"/>
      <c r="ID45" s="476"/>
      <c r="IE45" s="476"/>
      <c r="IF45" s="493"/>
      <c r="IG45" s="492"/>
      <c r="IH45" s="476"/>
      <c r="II45" s="476"/>
      <c r="IJ45" s="493"/>
    </row>
    <row r="46" spans="1:244">
      <c r="A46" s="554" t="s">
        <v>23</v>
      </c>
      <c r="B46" s="574">
        <f t="shared" si="0"/>
        <v>2009</v>
      </c>
      <c r="C46" s="575">
        <f>+C45</f>
        <v>19503399.303977273</v>
      </c>
      <c r="D46" s="575">
        <f>+D45</f>
        <v>445791.98409090913</v>
      </c>
      <c r="E46" s="575">
        <f t="shared" si="6"/>
        <v>19057607.319886364</v>
      </c>
      <c r="F46" s="558">
        <f>+C$29*E46+D46</f>
        <v>2714934.3212794503</v>
      </c>
      <c r="G46" s="575">
        <f>+G45</f>
        <v>5039072.605227273</v>
      </c>
      <c r="H46" s="575">
        <f>+H45</f>
        <v>115840.74954545456</v>
      </c>
      <c r="I46" s="575">
        <f t="shared" si="7"/>
        <v>4923231.855681818</v>
      </c>
      <c r="J46" s="558">
        <f>+G$29*I46+H46</f>
        <v>702037.83357633348</v>
      </c>
      <c r="K46" s="575">
        <f>+K45</f>
        <v>13056694.788579546</v>
      </c>
      <c r="L46" s="575">
        <f>+L45</f>
        <v>305419.76113636367</v>
      </c>
      <c r="M46" s="575">
        <f t="shared" si="8"/>
        <v>12751275.027443182</v>
      </c>
      <c r="N46" s="558">
        <f>+K$29*M46+L46</f>
        <v>1823682.6538612852</v>
      </c>
      <c r="O46" s="575">
        <f>+O45</f>
        <v>5249918</v>
      </c>
      <c r="P46" s="575">
        <f>+P45</f>
        <v>19886.053030303028</v>
      </c>
      <c r="Q46" s="575">
        <f>+O46-P46</f>
        <v>5230031.9469696973</v>
      </c>
      <c r="R46" s="558">
        <f>+(((O$29*Q46)*(12-O$32)/12))+P46</f>
        <v>123673.88883182555</v>
      </c>
      <c r="S46" s="492">
        <f>+S45</f>
        <v>2517294.6187878782</v>
      </c>
      <c r="T46" s="476">
        <f>+T45</f>
        <v>58315.705454545445</v>
      </c>
      <c r="U46" s="476">
        <f>+S46-T46</f>
        <v>2458978.9133333326</v>
      </c>
      <c r="V46" s="493">
        <f>+S$29*U46+T46</f>
        <v>351100.26465134026</v>
      </c>
      <c r="W46" s="476">
        <f>+W45</f>
        <v>30504919</v>
      </c>
      <c r="X46" s="476">
        <f>+X45</f>
        <v>115548.93560606061</v>
      </c>
      <c r="Y46" s="476">
        <f>+W46-X46</f>
        <v>30389370.064393938</v>
      </c>
      <c r="Z46" s="493">
        <f>+(((W$29*Y46)*(12-W$32)/12))+X46</f>
        <v>718613.50238800724</v>
      </c>
      <c r="AA46" s="476">
        <f>+AA45</f>
        <v>19836665</v>
      </c>
      <c r="AB46" s="476">
        <f>+AB45</f>
        <v>37569.441287878792</v>
      </c>
      <c r="AC46" s="476">
        <f>+AA46-AB46</f>
        <v>19799095.558712121</v>
      </c>
      <c r="AD46" s="493">
        <f>+(((AA$29*AC46)*(12-AA$32)/12))+AB46</f>
        <v>234021.90082370327</v>
      </c>
      <c r="AE46" s="476">
        <f>+AE45</f>
        <v>202307</v>
      </c>
      <c r="AF46" s="476">
        <f>+AF45</f>
        <v>2298.943181818182</v>
      </c>
      <c r="AG46" s="476">
        <f>+AE46-AF46</f>
        <v>200008.05681818182</v>
      </c>
      <c r="AH46" s="493">
        <f>+(((AE$29*AG46)*(12-AE$32)/12))+AF46</f>
        <v>14206.176390243161</v>
      </c>
      <c r="AI46" s="476"/>
      <c r="AJ46" s="476"/>
      <c r="AK46" s="476"/>
      <c r="AL46" s="493"/>
      <c r="AM46" s="476"/>
      <c r="AN46" s="476"/>
      <c r="AO46" s="476"/>
      <c r="AP46" s="493"/>
      <c r="AQ46" s="476"/>
      <c r="AR46" s="476"/>
      <c r="AS46" s="476"/>
      <c r="AT46" s="493"/>
      <c r="AU46" s="576">
        <f>+AU45</f>
        <v>29125000</v>
      </c>
      <c r="AV46" s="575">
        <f>+AV45</f>
        <v>750000</v>
      </c>
      <c r="AW46" s="575">
        <f t="shared" si="1"/>
        <v>28375000</v>
      </c>
      <c r="AX46" s="558">
        <f>+AU$29*AW46+AV46</f>
        <v>750000</v>
      </c>
      <c r="AY46" s="576">
        <f>+AY45</f>
        <v>19083333.333333332</v>
      </c>
      <c r="AZ46" s="575">
        <f>+AZ45</f>
        <v>500000</v>
      </c>
      <c r="BA46" s="575">
        <f t="shared" si="2"/>
        <v>18583333.333333332</v>
      </c>
      <c r="BB46" s="558">
        <f>+AY$29*BA46+AZ46</f>
        <v>500000</v>
      </c>
      <c r="BC46" s="576">
        <f>+BC45</f>
        <v>29500000</v>
      </c>
      <c r="BD46" s="575">
        <f>+BD45</f>
        <v>750000</v>
      </c>
      <c r="BE46" s="575">
        <f t="shared" si="4"/>
        <v>28750000</v>
      </c>
      <c r="BF46" s="558">
        <f>+BC$29*BE46+BD46</f>
        <v>750000</v>
      </c>
      <c r="BG46" s="576">
        <f>+BG45</f>
        <v>19952380.952380951</v>
      </c>
      <c r="BH46" s="575">
        <f>+BH45</f>
        <v>571428.57142857148</v>
      </c>
      <c r="BI46" s="575">
        <f t="shared" si="5"/>
        <v>19380952.380952381</v>
      </c>
      <c r="BJ46" s="558">
        <f>+BG$29*BI46+BH46</f>
        <v>571428.57142857148</v>
      </c>
      <c r="BK46" s="576">
        <f>+BK45</f>
        <v>30000000</v>
      </c>
      <c r="BL46" s="563">
        <f>+BL45</f>
        <v>400000</v>
      </c>
      <c r="BM46" s="575">
        <f t="shared" si="9"/>
        <v>29600000</v>
      </c>
      <c r="BN46" s="558">
        <f>+BK$29*BM46+BL46</f>
        <v>400000</v>
      </c>
      <c r="BO46" s="576">
        <f>+BO45</f>
        <v>20000000</v>
      </c>
      <c r="BP46" s="563">
        <f>+BP45</f>
        <v>166666.66666666666</v>
      </c>
      <c r="BQ46" s="575">
        <f t="shared" si="10"/>
        <v>19833333.333333332</v>
      </c>
      <c r="BR46" s="558">
        <f>+BO$29*BQ46+BP46</f>
        <v>166666.66666666666</v>
      </c>
      <c r="BS46" s="476"/>
      <c r="BT46" s="476"/>
      <c r="BU46" s="476"/>
      <c r="BV46" s="493"/>
      <c r="BW46" s="476"/>
      <c r="BX46" s="476"/>
      <c r="BY46" s="476"/>
      <c r="BZ46" s="493"/>
      <c r="CA46" s="476"/>
      <c r="CB46" s="476"/>
      <c r="CC46" s="476"/>
      <c r="CD46" s="493"/>
      <c r="CE46" s="476"/>
      <c r="CF46" s="476"/>
      <c r="CG46" s="476"/>
      <c r="CH46" s="493"/>
      <c r="CI46" s="476"/>
      <c r="CJ46" s="476"/>
      <c r="CK46" s="476"/>
      <c r="CL46" s="493"/>
      <c r="CM46" s="476"/>
      <c r="CN46" s="476"/>
      <c r="CO46" s="476"/>
      <c r="CP46" s="493"/>
      <c r="CQ46" s="476"/>
      <c r="CR46" s="476"/>
      <c r="CS46" s="476"/>
      <c r="CT46" s="493"/>
      <c r="CU46" s="476"/>
      <c r="CV46" s="476"/>
      <c r="CW46" s="476"/>
      <c r="CX46" s="493"/>
      <c r="CY46" s="476"/>
      <c r="CZ46" s="476"/>
      <c r="DA46" s="476"/>
      <c r="DB46" s="493"/>
      <c r="DC46" s="476"/>
      <c r="DD46" s="476"/>
      <c r="DE46" s="476"/>
      <c r="DF46" s="493"/>
      <c r="DG46" s="476"/>
      <c r="DH46" s="476"/>
      <c r="DI46" s="476"/>
      <c r="DJ46" s="493"/>
      <c r="DK46" s="476"/>
      <c r="DL46" s="476"/>
      <c r="DM46" s="476"/>
      <c r="DN46" s="493"/>
      <c r="DO46" s="492"/>
      <c r="DP46" s="476"/>
      <c r="DQ46" s="476"/>
      <c r="DR46" s="493"/>
      <c r="DS46" s="492"/>
      <c r="DT46" s="476"/>
      <c r="DU46" s="476"/>
      <c r="DV46" s="493"/>
      <c r="DW46" s="492"/>
      <c r="DX46" s="476"/>
      <c r="DY46" s="476"/>
      <c r="DZ46" s="493"/>
      <c r="EA46" s="492"/>
      <c r="EB46" s="476"/>
      <c r="EC46" s="476"/>
      <c r="ED46" s="493"/>
      <c r="EE46" s="492"/>
      <c r="EF46" s="476"/>
      <c r="EG46" s="476"/>
      <c r="EH46" s="493"/>
      <c r="EI46" s="492"/>
      <c r="EJ46" s="476"/>
      <c r="EK46" s="476"/>
      <c r="EL46" s="493"/>
      <c r="EM46" s="492"/>
      <c r="EN46" s="476"/>
      <c r="EO46" s="476"/>
      <c r="EP46" s="493"/>
      <c r="EQ46" s="492"/>
      <c r="ER46" s="476"/>
      <c r="ES46" s="476"/>
      <c r="ET46" s="493"/>
      <c r="EU46" s="492"/>
      <c r="EV46" s="476"/>
      <c r="EW46" s="476"/>
      <c r="EX46" s="493"/>
      <c r="EY46" s="582">
        <f t="shared" si="3"/>
        <v>6682270.5418021875</v>
      </c>
      <c r="EZ46" s="579">
        <f>+EY46</f>
        <v>6682270.5418021875</v>
      </c>
      <c r="FA46" s="553"/>
      <c r="FB46" s="581"/>
      <c r="FD46" s="492"/>
      <c r="FE46" s="476"/>
      <c r="FF46" s="476"/>
      <c r="FG46" s="493"/>
      <c r="FH46" s="492"/>
      <c r="FI46" s="476"/>
      <c r="FJ46" s="476"/>
      <c r="FK46" s="493"/>
      <c r="FL46" s="492"/>
      <c r="FM46" s="476"/>
      <c r="FN46" s="476"/>
      <c r="FO46" s="493"/>
      <c r="FP46" s="492"/>
      <c r="FQ46" s="476"/>
      <c r="FR46" s="476"/>
      <c r="FS46" s="493"/>
      <c r="FT46" s="492"/>
      <c r="FU46" s="476"/>
      <c r="FV46" s="476"/>
      <c r="FW46" s="493"/>
      <c r="FX46" s="492"/>
      <c r="FY46" s="476"/>
      <c r="FZ46" s="476"/>
      <c r="GA46" s="493"/>
      <c r="GB46" s="492"/>
      <c r="GC46" s="476"/>
      <c r="GD46" s="476"/>
      <c r="GE46" s="493"/>
      <c r="GF46" s="492"/>
      <c r="GG46" s="476"/>
      <c r="GH46" s="476"/>
      <c r="GI46" s="493"/>
      <c r="GJ46" s="492"/>
      <c r="GK46" s="476"/>
      <c r="GL46" s="476"/>
      <c r="GM46" s="493"/>
      <c r="GN46" s="492"/>
      <c r="GO46" s="476"/>
      <c r="GP46" s="476"/>
      <c r="GQ46" s="493"/>
      <c r="GR46" s="492"/>
      <c r="GS46" s="476"/>
      <c r="GT46" s="476"/>
      <c r="GU46" s="493"/>
      <c r="GV46" s="492"/>
      <c r="GW46" s="476"/>
      <c r="GX46" s="476"/>
      <c r="GY46" s="493"/>
      <c r="GZ46" s="492"/>
      <c r="HA46" s="476"/>
      <c r="HB46" s="476"/>
      <c r="HC46" s="493"/>
      <c r="HD46" s="576"/>
      <c r="HE46" s="580"/>
      <c r="HF46" s="580"/>
      <c r="HG46" s="918"/>
      <c r="HH46" s="576"/>
      <c r="HI46" s="575"/>
      <c r="HJ46" s="575"/>
      <c r="HK46" s="918"/>
      <c r="HL46" s="576"/>
      <c r="HM46" s="575"/>
      <c r="HN46" s="575"/>
      <c r="HO46" s="918"/>
      <c r="HP46" s="576"/>
      <c r="HQ46" s="575"/>
      <c r="HR46" s="575"/>
      <c r="HS46" s="918"/>
      <c r="HT46" s="576"/>
      <c r="HU46" s="575"/>
      <c r="HV46" s="575"/>
      <c r="HW46" s="918"/>
      <c r="HY46" s="492"/>
      <c r="HZ46" s="476"/>
      <c r="IA46" s="476"/>
      <c r="IB46" s="493"/>
      <c r="IC46" s="492"/>
      <c r="ID46" s="476"/>
      <c r="IE46" s="476"/>
      <c r="IF46" s="493"/>
      <c r="IG46" s="492"/>
      <c r="IH46" s="476"/>
      <c r="II46" s="476"/>
      <c r="IJ46" s="493"/>
    </row>
    <row r="47" spans="1:244">
      <c r="A47" s="554" t="s">
        <v>24</v>
      </c>
      <c r="B47" s="574">
        <f t="shared" si="0"/>
        <v>2010</v>
      </c>
      <c r="C47" s="575">
        <f>+E46</f>
        <v>19057607.319886364</v>
      </c>
      <c r="D47" s="575">
        <f>+C$31</f>
        <v>445791.98409090913</v>
      </c>
      <c r="E47" s="575">
        <f t="shared" si="6"/>
        <v>18611815.335795455</v>
      </c>
      <c r="F47" s="558">
        <f>+C$28*E47+D47</f>
        <v>2540538.2092271373</v>
      </c>
      <c r="G47" s="575">
        <f>+I46</f>
        <v>4923231.855681818</v>
      </c>
      <c r="H47" s="575">
        <f>+G$31</f>
        <v>115840.74954545456</v>
      </c>
      <c r="I47" s="575">
        <f t="shared" si="7"/>
        <v>4807391.106136363</v>
      </c>
      <c r="J47" s="558">
        <f>+G$28*I47+H47</f>
        <v>656909.10803947167</v>
      </c>
      <c r="K47" s="575">
        <f>+M46</f>
        <v>12751275.027443182</v>
      </c>
      <c r="L47" s="575">
        <f>+K$31</f>
        <v>305419.76113636367</v>
      </c>
      <c r="M47" s="575">
        <f t="shared" si="8"/>
        <v>12445855.266306818</v>
      </c>
      <c r="N47" s="558">
        <f>+K$28*M47+L47</f>
        <v>1706191.6830212097</v>
      </c>
      <c r="O47" s="575">
        <f>+Q46</f>
        <v>5230031.9469696973</v>
      </c>
      <c r="P47" s="575">
        <f>+O$31</f>
        <v>119316.31818181818</v>
      </c>
      <c r="Q47" s="575">
        <f t="shared" ref="Q47:Q110" si="11">+O47-P47</f>
        <v>5110715.6287878789</v>
      </c>
      <c r="R47" s="558">
        <f>+O$28*Q47+P47</f>
        <v>694523.6302035707</v>
      </c>
      <c r="S47" s="492">
        <f>+U46</f>
        <v>2458978.9133333326</v>
      </c>
      <c r="T47" s="476">
        <f>+S$31</f>
        <v>58315.705454545445</v>
      </c>
      <c r="U47" s="476">
        <f t="shared" ref="U47:U110" si="12">+S47-T47</f>
        <v>2400663.2078787871</v>
      </c>
      <c r="V47" s="493">
        <f>+S$28*U47+T47</f>
        <v>328508.59646479739</v>
      </c>
      <c r="W47" s="476">
        <f>+Y46</f>
        <v>30389370.064393938</v>
      </c>
      <c r="X47" s="476">
        <f>+W$31</f>
        <v>693293.61363636365</v>
      </c>
      <c r="Y47" s="476">
        <f t="shared" ref="Y47:Y110" si="13">+W47-X47</f>
        <v>29696076.450757574</v>
      </c>
      <c r="Z47" s="493">
        <f>+W$28*Y47+X47</f>
        <v>4035565.3332006088</v>
      </c>
      <c r="AA47" s="476">
        <f>+AC46</f>
        <v>19799095.558712121</v>
      </c>
      <c r="AB47" s="476">
        <f>+AA$31</f>
        <v>450833.29545454547</v>
      </c>
      <c r="AC47" s="476">
        <f t="shared" ref="AC47:AC110" si="14">+AA47-AB47</f>
        <v>19348262.263257574</v>
      </c>
      <c r="AD47" s="493">
        <f>+AA$28*AC47+AB47</f>
        <v>2628466.0845009303</v>
      </c>
      <c r="AE47" s="476">
        <f>+AG46</f>
        <v>200008.05681818182</v>
      </c>
      <c r="AF47" s="476">
        <f>+AE$31</f>
        <v>4597.886363636364</v>
      </c>
      <c r="AG47" s="476">
        <f t="shared" ref="AG47:AG110" si="15">+AE47-AF47</f>
        <v>195410.17045454547</v>
      </c>
      <c r="AH47" s="493">
        <f>+AE$28*AG47+AF47</f>
        <v>26591.15835390949</v>
      </c>
      <c r="AI47" s="476">
        <f>+AI30</f>
        <v>13004087</v>
      </c>
      <c r="AJ47" s="476">
        <f>+AI$31/12*(12-$AI$32)</f>
        <v>49257.905303030304</v>
      </c>
      <c r="AK47" s="476">
        <f>+AI47-AJ47</f>
        <v>12954829.094696969</v>
      </c>
      <c r="AL47" s="493">
        <f>+(((AI$28*AK47)*(12-AI$32)/12))+AJ47</f>
        <v>292267.33107005595</v>
      </c>
      <c r="AM47" s="476">
        <f>+AM30</f>
        <v>4878144.29</v>
      </c>
      <c r="AN47" s="476">
        <f>+AM$31/12*(12-$AM$32)</f>
        <v>55433.45784090909</v>
      </c>
      <c r="AO47" s="476">
        <f t="shared" ref="AO47:AO110" si="16">+AM47-AN47</f>
        <v>4822710.8321590908</v>
      </c>
      <c r="AP47" s="493">
        <f>+(((AM$28*AO47)*(12-AM$32)/12))+AN47</f>
        <v>326829.74907638424</v>
      </c>
      <c r="AQ47" s="476">
        <f>+AQ30</f>
        <v>39817018.439999998</v>
      </c>
      <c r="AR47" s="476">
        <f>+AQ$31/12*(12-$AQ$32)</f>
        <v>226233.05931818177</v>
      </c>
      <c r="AS47" s="476">
        <f t="shared" ref="AS47:AS110" si="17">+AQ47-AR47</f>
        <v>39590785.380681813</v>
      </c>
      <c r="AT47" s="493">
        <f>+(((AQ$28*AS47)*(12-AQ$32)/12))+AR47</f>
        <v>1340211.5553714433</v>
      </c>
      <c r="AU47" s="576">
        <f>+AW46</f>
        <v>28375000</v>
      </c>
      <c r="AV47" s="575">
        <f>+AU$31</f>
        <v>750000</v>
      </c>
      <c r="AW47" s="575">
        <f t="shared" si="1"/>
        <v>27625000</v>
      </c>
      <c r="AX47" s="558">
        <f>+AU$28*AW47+AV47</f>
        <v>750000</v>
      </c>
      <c r="AY47" s="576">
        <f>+BA46</f>
        <v>18583333.333333332</v>
      </c>
      <c r="AZ47" s="575">
        <f>+AY$31</f>
        <v>500000</v>
      </c>
      <c r="BA47" s="575">
        <f t="shared" si="2"/>
        <v>18083333.333333332</v>
      </c>
      <c r="BB47" s="558">
        <f>+AY$28*BA47+AZ47</f>
        <v>500000</v>
      </c>
      <c r="BC47" s="576">
        <f>+BE46</f>
        <v>28750000</v>
      </c>
      <c r="BD47" s="575">
        <f>+BC$31</f>
        <v>750000</v>
      </c>
      <c r="BE47" s="575">
        <f t="shared" si="4"/>
        <v>28000000</v>
      </c>
      <c r="BF47" s="558">
        <f>+BC$28*BE47+BD47</f>
        <v>750000</v>
      </c>
      <c r="BG47" s="576">
        <f>+BI46</f>
        <v>19380952.380952381</v>
      </c>
      <c r="BH47" s="575">
        <f>+BG$31</f>
        <v>571428.57142857148</v>
      </c>
      <c r="BI47" s="575">
        <f t="shared" si="5"/>
        <v>18809523.80952381</v>
      </c>
      <c r="BJ47" s="558">
        <f>+BG$28*BI47+BH47</f>
        <v>571428.57142857148</v>
      </c>
      <c r="BK47" s="576">
        <f>+BM46</f>
        <v>29600000</v>
      </c>
      <c r="BL47" s="563">
        <f>+BK$31</f>
        <v>1200000</v>
      </c>
      <c r="BM47" s="575">
        <f t="shared" si="9"/>
        <v>28400000</v>
      </c>
      <c r="BN47" s="558">
        <f>+BK$28*BM47+BL47</f>
        <v>1200000</v>
      </c>
      <c r="BO47" s="576">
        <f>+BQ46</f>
        <v>19833333.333333332</v>
      </c>
      <c r="BP47" s="563">
        <f>+BO$31</f>
        <v>666666.66666666663</v>
      </c>
      <c r="BQ47" s="575">
        <f t="shared" si="10"/>
        <v>19166666.666666664</v>
      </c>
      <c r="BR47" s="558">
        <f>+BO$28*BQ47+BP47</f>
        <v>666666.66666666663</v>
      </c>
      <c r="BS47" s="476">
        <f>+BS30</f>
        <v>365679</v>
      </c>
      <c r="BT47" s="476">
        <f>+BS$31/12*(12-$BS$32)</f>
        <v>0</v>
      </c>
      <c r="BU47" s="476">
        <f t="shared" ref="BU47:BU110" si="18">+BS47-BT47</f>
        <v>365679</v>
      </c>
      <c r="BV47" s="493">
        <f>+(((BS$28*BU47)*(12-BS$32)/12))+BT47</f>
        <v>0</v>
      </c>
      <c r="BW47" s="476"/>
      <c r="BX47" s="476"/>
      <c r="BY47" s="476"/>
      <c r="BZ47" s="493"/>
      <c r="CA47" s="476"/>
      <c r="CB47" s="476"/>
      <c r="CC47" s="476"/>
      <c r="CD47" s="493"/>
      <c r="CE47" s="476"/>
      <c r="CF47" s="476"/>
      <c r="CG47" s="476"/>
      <c r="CH47" s="493"/>
      <c r="CI47" s="476"/>
      <c r="CJ47" s="476"/>
      <c r="CK47" s="476"/>
      <c r="CL47" s="493"/>
      <c r="CM47" s="476"/>
      <c r="CN47" s="476"/>
      <c r="CO47" s="476"/>
      <c r="CP47" s="493"/>
      <c r="CQ47" s="476"/>
      <c r="CR47" s="476"/>
      <c r="CS47" s="476"/>
      <c r="CT47" s="493"/>
      <c r="CU47" s="476"/>
      <c r="CV47" s="476"/>
      <c r="CW47" s="476"/>
      <c r="CX47" s="493"/>
      <c r="CY47" s="476"/>
      <c r="CZ47" s="476"/>
      <c r="DA47" s="476"/>
      <c r="DB47" s="493"/>
      <c r="DC47" s="476"/>
      <c r="DD47" s="476"/>
      <c r="DE47" s="476"/>
      <c r="DF47" s="493"/>
      <c r="DG47" s="476"/>
      <c r="DH47" s="476"/>
      <c r="DI47" s="476"/>
      <c r="DJ47" s="493"/>
      <c r="DK47" s="476"/>
      <c r="DL47" s="476"/>
      <c r="DM47" s="476"/>
      <c r="DN47" s="493"/>
      <c r="DO47" s="492"/>
      <c r="DP47" s="476"/>
      <c r="DQ47" s="476"/>
      <c r="DR47" s="493"/>
      <c r="DS47" s="492"/>
      <c r="DT47" s="476"/>
      <c r="DU47" s="476"/>
      <c r="DV47" s="493"/>
      <c r="DW47" s="492"/>
      <c r="DX47" s="476"/>
      <c r="DY47" s="476"/>
      <c r="DZ47" s="493"/>
      <c r="EA47" s="492"/>
      <c r="EB47" s="476"/>
      <c r="EC47" s="476"/>
      <c r="ED47" s="493"/>
      <c r="EE47" s="492"/>
      <c r="EF47" s="476"/>
      <c r="EG47" s="476"/>
      <c r="EH47" s="493"/>
      <c r="EI47" s="492"/>
      <c r="EJ47" s="476"/>
      <c r="EK47" s="476"/>
      <c r="EL47" s="493"/>
      <c r="EM47" s="492"/>
      <c r="EN47" s="476"/>
      <c r="EO47" s="476"/>
      <c r="EP47" s="493"/>
      <c r="EQ47" s="492"/>
      <c r="ER47" s="476"/>
      <c r="ES47" s="476"/>
      <c r="ET47" s="493"/>
      <c r="EU47" s="492"/>
      <c r="EV47" s="476"/>
      <c r="EW47" s="476"/>
      <c r="EX47" s="493"/>
      <c r="EY47" s="582">
        <f t="shared" si="3"/>
        <v>14576602.438529521</v>
      </c>
      <c r="EZ47" s="557"/>
      <c r="FA47" s="578">
        <f>+EY47</f>
        <v>14576602.438529521</v>
      </c>
      <c r="FD47" s="492"/>
      <c r="FE47" s="476"/>
      <c r="FF47" s="476"/>
      <c r="FG47" s="493"/>
      <c r="FH47" s="492"/>
      <c r="FI47" s="476"/>
      <c r="FJ47" s="476"/>
      <c r="FK47" s="493"/>
      <c r="FL47" s="492"/>
      <c r="FM47" s="476"/>
      <c r="FN47" s="476"/>
      <c r="FO47" s="493"/>
      <c r="FP47" s="492"/>
      <c r="FQ47" s="476"/>
      <c r="FR47" s="476"/>
      <c r="FS47" s="493"/>
      <c r="FT47" s="492"/>
      <c r="FU47" s="476"/>
      <c r="FV47" s="476"/>
      <c r="FW47" s="493"/>
      <c r="FX47" s="492"/>
      <c r="FY47" s="476"/>
      <c r="FZ47" s="476"/>
      <c r="GA47" s="493"/>
      <c r="GB47" s="492"/>
      <c r="GC47" s="476"/>
      <c r="GD47" s="476"/>
      <c r="GE47" s="493"/>
      <c r="GF47" s="492"/>
      <c r="GG47" s="476"/>
      <c r="GH47" s="476"/>
      <c r="GI47" s="493"/>
      <c r="GJ47" s="492"/>
      <c r="GK47" s="476"/>
      <c r="GL47" s="476"/>
      <c r="GM47" s="493"/>
      <c r="GN47" s="492"/>
      <c r="GO47" s="476"/>
      <c r="GP47" s="476"/>
      <c r="GQ47" s="493"/>
      <c r="GR47" s="492"/>
      <c r="GS47" s="476"/>
      <c r="GT47" s="476"/>
      <c r="GU47" s="493"/>
      <c r="GV47" s="492"/>
      <c r="GW47" s="476"/>
      <c r="GX47" s="476"/>
      <c r="GY47" s="493"/>
      <c r="GZ47" s="492"/>
      <c r="HA47" s="476"/>
      <c r="HB47" s="476"/>
      <c r="HC47" s="493"/>
      <c r="HD47" s="576"/>
      <c r="HE47" s="580"/>
      <c r="HF47" s="580"/>
      <c r="HG47" s="918"/>
      <c r="HH47" s="576"/>
      <c r="HI47" s="575"/>
      <c r="HJ47" s="575"/>
      <c r="HK47" s="918"/>
      <c r="HL47" s="576"/>
      <c r="HM47" s="575"/>
      <c r="HN47" s="575"/>
      <c r="HO47" s="918"/>
      <c r="HP47" s="576"/>
      <c r="HQ47" s="575"/>
      <c r="HR47" s="575"/>
      <c r="HS47" s="918"/>
      <c r="HT47" s="576"/>
      <c r="HU47" s="575"/>
      <c r="HV47" s="575"/>
      <c r="HW47" s="918"/>
      <c r="HY47" s="492"/>
      <c r="HZ47" s="476"/>
      <c r="IA47" s="476"/>
      <c r="IB47" s="493"/>
      <c r="IC47" s="492"/>
      <c r="ID47" s="476"/>
      <c r="IE47" s="476"/>
      <c r="IF47" s="493"/>
      <c r="IG47" s="492"/>
      <c r="IH47" s="476"/>
      <c r="II47" s="476"/>
      <c r="IJ47" s="493"/>
    </row>
    <row r="48" spans="1:244">
      <c r="A48" s="554" t="s">
        <v>23</v>
      </c>
      <c r="B48" s="574">
        <f t="shared" si="0"/>
        <v>2010</v>
      </c>
      <c r="C48" s="575">
        <f>+C47</f>
        <v>19057607.319886364</v>
      </c>
      <c r="D48" s="575">
        <f>+D47</f>
        <v>445791.98409090913</v>
      </c>
      <c r="E48" s="575">
        <f t="shared" si="6"/>
        <v>18611815.335795455</v>
      </c>
      <c r="F48" s="558">
        <f>+C$29*E48+D48</f>
        <v>2661854.9683627598</v>
      </c>
      <c r="G48" s="575">
        <f>+G47</f>
        <v>4923231.855681818</v>
      </c>
      <c r="H48" s="575">
        <f>+H47</f>
        <v>115840.74954545456</v>
      </c>
      <c r="I48" s="575">
        <f t="shared" si="7"/>
        <v>4807391.106136363</v>
      </c>
      <c r="J48" s="558">
        <f>+G$29*I48+H48</f>
        <v>688244.96101090102</v>
      </c>
      <c r="K48" s="575">
        <f>+K47</f>
        <v>12751275.027443182</v>
      </c>
      <c r="L48" s="575">
        <f>+L47</f>
        <v>305419.76113636367</v>
      </c>
      <c r="M48" s="575">
        <f t="shared" si="8"/>
        <v>12445855.266306818</v>
      </c>
      <c r="N48" s="558">
        <f>+K$29*M48+L48</f>
        <v>1787317.0755924247</v>
      </c>
      <c r="O48" s="575">
        <f>+O47</f>
        <v>5230031.9469696973</v>
      </c>
      <c r="P48" s="575">
        <f>+P47</f>
        <v>119316.31818181818</v>
      </c>
      <c r="Q48" s="575">
        <f t="shared" si="11"/>
        <v>5110715.6287878789</v>
      </c>
      <c r="R48" s="558">
        <f>+O$29*Q48+P48</f>
        <v>727836.63303333032</v>
      </c>
      <c r="S48" s="492">
        <f>+S47</f>
        <v>2458978.9133333326</v>
      </c>
      <c r="T48" s="476">
        <f>+T47</f>
        <v>58315.705454545445</v>
      </c>
      <c r="U48" s="476">
        <f t="shared" si="12"/>
        <v>2400663.2078787871</v>
      </c>
      <c r="V48" s="493">
        <f>+S$29*U48+T48</f>
        <v>344156.75731860992</v>
      </c>
      <c r="W48" s="476">
        <f>+W47</f>
        <v>30389370.064393938</v>
      </c>
      <c r="X48" s="476">
        <f>+X47</f>
        <v>693293.61363636365</v>
      </c>
      <c r="Y48" s="476">
        <f t="shared" si="13"/>
        <v>29696076.450757574</v>
      </c>
      <c r="Z48" s="493">
        <f>+W$29*Y48+X48</f>
        <v>4229132.2523350781</v>
      </c>
      <c r="AA48" s="476">
        <f>+AA47</f>
        <v>19799095.558712121</v>
      </c>
      <c r="AB48" s="476">
        <f>+AB47</f>
        <v>450833.29545454547</v>
      </c>
      <c r="AC48" s="476">
        <f t="shared" si="14"/>
        <v>19348262.263257574</v>
      </c>
      <c r="AD48" s="493">
        <f>+AA$29*AC48+AB48</f>
        <v>2754583.2004477051</v>
      </c>
      <c r="AE48" s="476">
        <f>+AE47</f>
        <v>200008.05681818182</v>
      </c>
      <c r="AF48" s="476">
        <f>+AF47</f>
        <v>4597.886363636364</v>
      </c>
      <c r="AG48" s="476">
        <f t="shared" si="15"/>
        <v>195410.17045454547</v>
      </c>
      <c r="AH48" s="493">
        <f>+AE$29*AG48+AF48</f>
        <v>27864.893782397816</v>
      </c>
      <c r="AI48" s="476">
        <f>+AI47</f>
        <v>13004087</v>
      </c>
      <c r="AJ48" s="476">
        <f>+AJ47</f>
        <v>49257.905303030304</v>
      </c>
      <c r="AK48" s="476">
        <f t="shared" ref="AK48:AK111" si="19">+AI48-AJ48</f>
        <v>12954829.094696969</v>
      </c>
      <c r="AL48" s="493">
        <f>+(((AI$29*AK48)*(12-AI$32)/12))+AJ48</f>
        <v>306341.16761392989</v>
      </c>
      <c r="AM48" s="476">
        <f>+AM47</f>
        <v>4878144.29</v>
      </c>
      <c r="AN48" s="476">
        <f>+AN47</f>
        <v>55433.45784090909</v>
      </c>
      <c r="AO48" s="476">
        <f t="shared" si="16"/>
        <v>4822710.8321590908</v>
      </c>
      <c r="AP48" s="493">
        <f>+(((AM$29*AO48)*(12-AM$32)/12))+AN48</f>
        <v>342547.60458509828</v>
      </c>
      <c r="AQ48" s="476">
        <f>+AQ47</f>
        <v>39817018.439999998</v>
      </c>
      <c r="AR48" s="476">
        <f>+AR47</f>
        <v>226233.05931818177</v>
      </c>
      <c r="AS48" s="476">
        <f t="shared" si="17"/>
        <v>39590785.380681813</v>
      </c>
      <c r="AT48" s="493">
        <f>+(((AQ$29*AS48)*(12-AQ$32)/12))+AR48</f>
        <v>1404727.3708274027</v>
      </c>
      <c r="AU48" s="576">
        <f>+AU47</f>
        <v>28375000</v>
      </c>
      <c r="AV48" s="575">
        <f>+AV47</f>
        <v>750000</v>
      </c>
      <c r="AW48" s="575">
        <f t="shared" si="1"/>
        <v>27625000</v>
      </c>
      <c r="AX48" s="558">
        <f>+AU$29*AW48+AV48</f>
        <v>750000</v>
      </c>
      <c r="AY48" s="576">
        <f>+AY47</f>
        <v>18583333.333333332</v>
      </c>
      <c r="AZ48" s="575">
        <f>+AZ47</f>
        <v>500000</v>
      </c>
      <c r="BA48" s="575">
        <f t="shared" si="2"/>
        <v>18083333.333333332</v>
      </c>
      <c r="BB48" s="558">
        <f>+AY$29*BA48+AZ48</f>
        <v>500000</v>
      </c>
      <c r="BC48" s="576">
        <f>+BC47</f>
        <v>28750000</v>
      </c>
      <c r="BD48" s="575">
        <f>+BD47</f>
        <v>750000</v>
      </c>
      <c r="BE48" s="575">
        <f t="shared" si="4"/>
        <v>28000000</v>
      </c>
      <c r="BF48" s="558">
        <f>+BC$29*BE48+BD48</f>
        <v>750000</v>
      </c>
      <c r="BG48" s="576">
        <f>+BG47</f>
        <v>19380952.380952381</v>
      </c>
      <c r="BH48" s="575">
        <f>+BH47</f>
        <v>571428.57142857148</v>
      </c>
      <c r="BI48" s="575">
        <f t="shared" si="5"/>
        <v>18809523.80952381</v>
      </c>
      <c r="BJ48" s="558">
        <f>+BG$29*BI48+BH48</f>
        <v>571428.57142857148</v>
      </c>
      <c r="BK48" s="576">
        <f>+BK47</f>
        <v>29600000</v>
      </c>
      <c r="BL48" s="563">
        <f>+BL47</f>
        <v>1200000</v>
      </c>
      <c r="BM48" s="575">
        <f t="shared" si="9"/>
        <v>28400000</v>
      </c>
      <c r="BN48" s="558">
        <f>+BK$29*BM48+BL48</f>
        <v>1200000</v>
      </c>
      <c r="BO48" s="576">
        <f>+BO47</f>
        <v>19833333.333333332</v>
      </c>
      <c r="BP48" s="563">
        <f>+BP47</f>
        <v>666666.66666666663</v>
      </c>
      <c r="BQ48" s="575">
        <f t="shared" si="10"/>
        <v>19166666.666666664</v>
      </c>
      <c r="BR48" s="558">
        <f>+BO$29*BQ48+BP48</f>
        <v>666666.66666666663</v>
      </c>
      <c r="BS48" s="476">
        <f>+BS47</f>
        <v>365679</v>
      </c>
      <c r="BT48" s="476">
        <f>+BT47</f>
        <v>0</v>
      </c>
      <c r="BU48" s="476">
        <f t="shared" si="18"/>
        <v>365679</v>
      </c>
      <c r="BV48" s="493">
        <f>+(((BS$29*BU48)*(12-BS$32)/12))+BT48</f>
        <v>0</v>
      </c>
      <c r="BW48" s="476"/>
      <c r="BX48" s="476"/>
      <c r="BY48" s="476"/>
      <c r="BZ48" s="493"/>
      <c r="CA48" s="476"/>
      <c r="CB48" s="476"/>
      <c r="CC48" s="476"/>
      <c r="CD48" s="493"/>
      <c r="CE48" s="476"/>
      <c r="CF48" s="476"/>
      <c r="CG48" s="476"/>
      <c r="CH48" s="493"/>
      <c r="CI48" s="476"/>
      <c r="CJ48" s="476"/>
      <c r="CK48" s="476"/>
      <c r="CL48" s="493"/>
      <c r="CM48" s="476"/>
      <c r="CN48" s="476"/>
      <c r="CO48" s="476"/>
      <c r="CP48" s="493"/>
      <c r="CQ48" s="476"/>
      <c r="CR48" s="476"/>
      <c r="CS48" s="476"/>
      <c r="CT48" s="493"/>
      <c r="CU48" s="476"/>
      <c r="CV48" s="476"/>
      <c r="CW48" s="476"/>
      <c r="CX48" s="493"/>
      <c r="CY48" s="476"/>
      <c r="CZ48" s="476"/>
      <c r="DA48" s="476"/>
      <c r="DB48" s="493"/>
      <c r="DC48" s="476"/>
      <c r="DD48" s="476"/>
      <c r="DE48" s="476"/>
      <c r="DF48" s="493"/>
      <c r="DG48" s="476"/>
      <c r="DH48" s="476"/>
      <c r="DI48" s="476"/>
      <c r="DJ48" s="493"/>
      <c r="DK48" s="476"/>
      <c r="DL48" s="476"/>
      <c r="DM48" s="476"/>
      <c r="DN48" s="493"/>
      <c r="DO48" s="492"/>
      <c r="DP48" s="476"/>
      <c r="DQ48" s="476"/>
      <c r="DR48" s="493"/>
      <c r="DS48" s="492"/>
      <c r="DT48" s="476"/>
      <c r="DU48" s="476"/>
      <c r="DV48" s="493"/>
      <c r="DW48" s="492"/>
      <c r="DX48" s="476"/>
      <c r="DY48" s="476"/>
      <c r="DZ48" s="493"/>
      <c r="EA48" s="492"/>
      <c r="EB48" s="476"/>
      <c r="EC48" s="476"/>
      <c r="ED48" s="493"/>
      <c r="EE48" s="492"/>
      <c r="EF48" s="476"/>
      <c r="EG48" s="476"/>
      <c r="EH48" s="493"/>
      <c r="EI48" s="492"/>
      <c r="EJ48" s="476"/>
      <c r="EK48" s="476"/>
      <c r="EL48" s="493"/>
      <c r="EM48" s="492"/>
      <c r="EN48" s="476"/>
      <c r="EO48" s="476"/>
      <c r="EP48" s="493"/>
      <c r="EQ48" s="492"/>
      <c r="ER48" s="476"/>
      <c r="ES48" s="476"/>
      <c r="ET48" s="493"/>
      <c r="EU48" s="492"/>
      <c r="EV48" s="476"/>
      <c r="EW48" s="476"/>
      <c r="EX48" s="493"/>
      <c r="EY48" s="582">
        <f t="shared" si="3"/>
        <v>15274606.884909635</v>
      </c>
      <c r="EZ48" s="599">
        <f>+EY48</f>
        <v>15274606.884909635</v>
      </c>
      <c r="FA48" s="578"/>
      <c r="FB48" s="581"/>
      <c r="FD48" s="492"/>
      <c r="FE48" s="476"/>
      <c r="FF48" s="476"/>
      <c r="FG48" s="493"/>
      <c r="FH48" s="492"/>
      <c r="FI48" s="476"/>
      <c r="FJ48" s="476"/>
      <c r="FK48" s="493"/>
      <c r="FL48" s="492"/>
      <c r="FM48" s="476"/>
      <c r="FN48" s="476"/>
      <c r="FO48" s="493"/>
      <c r="FP48" s="492"/>
      <c r="FQ48" s="476"/>
      <c r="FR48" s="476"/>
      <c r="FS48" s="493"/>
      <c r="FT48" s="492"/>
      <c r="FU48" s="476"/>
      <c r="FV48" s="476"/>
      <c r="FW48" s="493"/>
      <c r="FX48" s="492"/>
      <c r="FY48" s="476"/>
      <c r="FZ48" s="476"/>
      <c r="GA48" s="493"/>
      <c r="GB48" s="492"/>
      <c r="GC48" s="476"/>
      <c r="GD48" s="476"/>
      <c r="GE48" s="493"/>
      <c r="GF48" s="492"/>
      <c r="GG48" s="476"/>
      <c r="GH48" s="476"/>
      <c r="GI48" s="493"/>
      <c r="GJ48" s="492"/>
      <c r="GK48" s="476"/>
      <c r="GL48" s="476"/>
      <c r="GM48" s="493"/>
      <c r="GN48" s="492"/>
      <c r="GO48" s="476"/>
      <c r="GP48" s="476"/>
      <c r="GQ48" s="493"/>
      <c r="GR48" s="492"/>
      <c r="GS48" s="476"/>
      <c r="GT48" s="476"/>
      <c r="GU48" s="493"/>
      <c r="GV48" s="492"/>
      <c r="GW48" s="476"/>
      <c r="GX48" s="476"/>
      <c r="GY48" s="493"/>
      <c r="GZ48" s="492"/>
      <c r="HA48" s="476"/>
      <c r="HB48" s="476"/>
      <c r="HC48" s="493"/>
      <c r="HD48" s="576"/>
      <c r="HE48" s="580"/>
      <c r="HF48" s="580"/>
      <c r="HG48" s="918"/>
      <c r="HH48" s="576"/>
      <c r="HI48" s="575"/>
      <c r="HJ48" s="575"/>
      <c r="HK48" s="918"/>
      <c r="HL48" s="576"/>
      <c r="HM48" s="575"/>
      <c r="HN48" s="575"/>
      <c r="HO48" s="918"/>
      <c r="HP48" s="576"/>
      <c r="HQ48" s="575"/>
      <c r="HR48" s="575"/>
      <c r="HS48" s="918"/>
      <c r="HT48" s="576"/>
      <c r="HU48" s="575"/>
      <c r="HV48" s="575"/>
      <c r="HW48" s="918"/>
      <c r="HY48" s="492"/>
      <c r="HZ48" s="476"/>
      <c r="IA48" s="476"/>
      <c r="IB48" s="493"/>
      <c r="IC48" s="492"/>
      <c r="ID48" s="476"/>
      <c r="IE48" s="476"/>
      <c r="IF48" s="493"/>
      <c r="IG48" s="492"/>
      <c r="IH48" s="476"/>
      <c r="II48" s="476"/>
      <c r="IJ48" s="493"/>
    </row>
    <row r="49" spans="1:244">
      <c r="A49" s="554" t="s">
        <v>24</v>
      </c>
      <c r="B49" s="574">
        <f t="shared" si="0"/>
        <v>2011</v>
      </c>
      <c r="C49" s="575">
        <f>+E48</f>
        <v>18611815.335795455</v>
      </c>
      <c r="D49" s="575">
        <f>+C$31</f>
        <v>445791.98409090913</v>
      </c>
      <c r="E49" s="575">
        <f t="shared" si="6"/>
        <v>18166023.351704545</v>
      </c>
      <c r="F49" s="558">
        <f>+C$28*E49+D49</f>
        <v>2490364.6469484251</v>
      </c>
      <c r="G49" s="575">
        <f>+I48</f>
        <v>4807391.106136363</v>
      </c>
      <c r="H49" s="575">
        <f>+G$31</f>
        <v>115840.74954545456</v>
      </c>
      <c r="I49" s="575">
        <f t="shared" si="7"/>
        <v>4691550.356590908</v>
      </c>
      <c r="J49" s="558">
        <f>+G$28*I49+H49</f>
        <v>643871.31626853149</v>
      </c>
      <c r="K49" s="576">
        <f>+M48</f>
        <v>12445855.266306818</v>
      </c>
      <c r="L49" s="575">
        <f>+K$31</f>
        <v>305419.76113636367</v>
      </c>
      <c r="M49" s="575">
        <f t="shared" si="8"/>
        <v>12140435.505170453</v>
      </c>
      <c r="N49" s="558">
        <f>+K$28*M49+L49</f>
        <v>1671816.9119320109</v>
      </c>
      <c r="O49" s="576">
        <f>+Q48</f>
        <v>5110715.6287878789</v>
      </c>
      <c r="P49" s="575">
        <f>+O$31</f>
        <v>119316.31818181818</v>
      </c>
      <c r="Q49" s="575">
        <f t="shared" si="11"/>
        <v>4991399.3106060605</v>
      </c>
      <c r="R49" s="558">
        <f>+O$28*Q49+P49</f>
        <v>681094.66572057246</v>
      </c>
      <c r="S49" s="492">
        <f>+U48</f>
        <v>2400663.2078787871</v>
      </c>
      <c r="T49" s="476">
        <f>+S$31</f>
        <v>58315.705454545445</v>
      </c>
      <c r="U49" s="476">
        <f t="shared" si="12"/>
        <v>2342347.5024242415</v>
      </c>
      <c r="V49" s="493">
        <f>+S$28*U49+T49</f>
        <v>321945.20639977104</v>
      </c>
      <c r="W49" s="492">
        <f>+Y48</f>
        <v>29696076.450757574</v>
      </c>
      <c r="X49" s="476">
        <f>+W$31</f>
        <v>693293.61363636365</v>
      </c>
      <c r="Y49" s="476">
        <f t="shared" si="13"/>
        <v>29002782.837121211</v>
      </c>
      <c r="Z49" s="493">
        <f>+W$28*Y49+X49</f>
        <v>3957535.6432496929</v>
      </c>
      <c r="AA49" s="492">
        <f>+AC48</f>
        <v>19348262.263257574</v>
      </c>
      <c r="AB49" s="476">
        <f>+AA$31</f>
        <v>450833.29545454547</v>
      </c>
      <c r="AC49" s="476">
        <f t="shared" si="14"/>
        <v>18897428.967803027</v>
      </c>
      <c r="AD49" s="493">
        <f>+AA$28*AC49+AB49</f>
        <v>2577725.1263095583</v>
      </c>
      <c r="AE49" s="492">
        <f>+AG48</f>
        <v>195410.17045454547</v>
      </c>
      <c r="AF49" s="476">
        <f>+AE$31</f>
        <v>4597.886363636364</v>
      </c>
      <c r="AG49" s="476">
        <f t="shared" si="15"/>
        <v>190812.28409090912</v>
      </c>
      <c r="AH49" s="493">
        <f>+AE$28*AG49+AF49</f>
        <v>26073.669601197184</v>
      </c>
      <c r="AI49" s="492">
        <f>+AK48</f>
        <v>12954829.094696969</v>
      </c>
      <c r="AJ49" s="476">
        <f>+AI$31</f>
        <v>295547.43181818182</v>
      </c>
      <c r="AK49" s="476">
        <f t="shared" si="19"/>
        <v>12659281.662878787</v>
      </c>
      <c r="AL49" s="493">
        <f>+AI$28*AK49+AJ49</f>
        <v>1720340.3387868267</v>
      </c>
      <c r="AM49" s="492">
        <f>+AO48</f>
        <v>4822710.8321590908</v>
      </c>
      <c r="AN49" s="476">
        <f>+AM$31</f>
        <v>110866.91568181818</v>
      </c>
      <c r="AO49" s="476">
        <f t="shared" si="16"/>
        <v>4711843.9164772723</v>
      </c>
      <c r="AP49" s="493">
        <f>+AM$28*AO49+AN49</f>
        <v>641181.50775113737</v>
      </c>
      <c r="AQ49" s="492">
        <f>+AS48</f>
        <v>39590785.380681813</v>
      </c>
      <c r="AR49" s="476">
        <f>+AQ$31</f>
        <v>904932.23727272719</v>
      </c>
      <c r="AS49" s="476">
        <f t="shared" si="17"/>
        <v>38685853.143409088</v>
      </c>
      <c r="AT49" s="493">
        <f>+AQ$28*AS49+AR49</f>
        <v>5258996.7589894747</v>
      </c>
      <c r="AU49" s="576">
        <f>+AW48</f>
        <v>27625000</v>
      </c>
      <c r="AV49" s="575">
        <f>+AU$31</f>
        <v>750000</v>
      </c>
      <c r="AW49" s="575">
        <f t="shared" si="1"/>
        <v>26875000</v>
      </c>
      <c r="AX49" s="558">
        <f>+AU$28*AW49+AV49</f>
        <v>750000</v>
      </c>
      <c r="AY49" s="576">
        <f>+BA48</f>
        <v>18083333.333333332</v>
      </c>
      <c r="AZ49" s="575">
        <f>+AY$31</f>
        <v>500000</v>
      </c>
      <c r="BA49" s="575">
        <f t="shared" si="2"/>
        <v>17583333.333333332</v>
      </c>
      <c r="BB49" s="558">
        <f>+AY$28*BA49+AZ49</f>
        <v>500000</v>
      </c>
      <c r="BC49" s="576">
        <f>+BE48</f>
        <v>28000000</v>
      </c>
      <c r="BD49" s="575">
        <f>+BC$31</f>
        <v>750000</v>
      </c>
      <c r="BE49" s="575">
        <f t="shared" si="4"/>
        <v>27250000</v>
      </c>
      <c r="BF49" s="558">
        <f>+BC$28*BE49+BD49</f>
        <v>750000</v>
      </c>
      <c r="BG49" s="576">
        <f>+BI48</f>
        <v>18809523.80952381</v>
      </c>
      <c r="BH49" s="575">
        <f>+BG$31</f>
        <v>571428.57142857148</v>
      </c>
      <c r="BI49" s="575">
        <f t="shared" si="5"/>
        <v>18238095.238095239</v>
      </c>
      <c r="BJ49" s="558">
        <f>+BG$28*BI49+BH49</f>
        <v>571428.57142857148</v>
      </c>
      <c r="BK49" s="576">
        <f>+BM48</f>
        <v>28400000</v>
      </c>
      <c r="BL49" s="575">
        <f>+BK$31</f>
        <v>1200000</v>
      </c>
      <c r="BM49" s="575">
        <f t="shared" si="9"/>
        <v>27200000</v>
      </c>
      <c r="BN49" s="558">
        <f>+BK$28*BM49+BL49</f>
        <v>1200000</v>
      </c>
      <c r="BO49" s="576">
        <f>+BQ48</f>
        <v>19166666.666666664</v>
      </c>
      <c r="BP49" s="575">
        <f>+BO$31</f>
        <v>666666.66666666663</v>
      </c>
      <c r="BQ49" s="575">
        <f t="shared" si="10"/>
        <v>18499999.999999996</v>
      </c>
      <c r="BR49" s="558">
        <f>+BO$28*BQ49+BP49</f>
        <v>666666.66666666663</v>
      </c>
      <c r="BS49" s="492">
        <f>+BU48</f>
        <v>365679</v>
      </c>
      <c r="BT49" s="476">
        <f>+BS$31</f>
        <v>8310.886363636364</v>
      </c>
      <c r="BU49" s="476">
        <f t="shared" si="18"/>
        <v>357368.11363636365</v>
      </c>
      <c r="BV49" s="493">
        <f>+BS$28*BU49+BT49</f>
        <v>48532.406592460029</v>
      </c>
      <c r="BW49" s="492">
        <f>+BW30</f>
        <v>25381014</v>
      </c>
      <c r="BX49" s="476">
        <f>+BW$31/12*(12-$BW$32)</f>
        <v>288420.61363636365</v>
      </c>
      <c r="BY49" s="476">
        <f>+BW49-BX49</f>
        <v>25092593.386363637</v>
      </c>
      <c r="BZ49" s="493">
        <f>+(((BW$28*BY49)*(12-BW$32)/12))+BX49</f>
        <v>1700497.1447706386</v>
      </c>
      <c r="CA49" s="492">
        <f>+CA30</f>
        <v>2395092.48</v>
      </c>
      <c r="CB49" s="476">
        <f>+CA$31/12*(12-$CA$32)</f>
        <v>22680.799999999999</v>
      </c>
      <c r="CC49" s="476">
        <f>+CA49-CB49</f>
        <v>2372411.6800000002</v>
      </c>
      <c r="CD49" s="493">
        <f>+(((CA$28*CC49)*(12-CA$32)/12))+CB49</f>
        <v>133936.30090733757</v>
      </c>
      <c r="CE49" s="492">
        <f>+CE30</f>
        <v>207901.28</v>
      </c>
      <c r="CF49" s="476">
        <f>+CE$31/12*(12-$CE$32)</f>
        <v>3543.7718181818182</v>
      </c>
      <c r="CG49" s="476">
        <f>+CE49-CF49</f>
        <v>204357.50818181818</v>
      </c>
      <c r="CH49" s="493">
        <f>+(((CE$28*CG49)*(12-CE$32)/12))+CF49</f>
        <v>20793.988056578659</v>
      </c>
      <c r="CI49" s="492"/>
      <c r="CK49" s="476"/>
      <c r="CL49" s="493"/>
      <c r="CM49" s="492"/>
      <c r="CO49" s="476"/>
      <c r="CP49" s="493"/>
      <c r="CQ49" s="492"/>
      <c r="CS49" s="476"/>
      <c r="CT49" s="493"/>
      <c r="CU49" s="492"/>
      <c r="CW49" s="476"/>
      <c r="CX49" s="493"/>
      <c r="CY49" s="492"/>
      <c r="DA49" s="476"/>
      <c r="DB49" s="493"/>
      <c r="DC49" s="492"/>
      <c r="DE49" s="476"/>
      <c r="DF49" s="493"/>
      <c r="DG49" s="492"/>
      <c r="DI49" s="476"/>
      <c r="DJ49" s="493"/>
      <c r="DK49" s="492"/>
      <c r="DM49" s="476"/>
      <c r="DN49" s="493"/>
      <c r="DO49" s="492"/>
      <c r="DP49" s="476"/>
      <c r="DQ49" s="476"/>
      <c r="DR49" s="493"/>
      <c r="DS49" s="492"/>
      <c r="DT49" s="476"/>
      <c r="DU49" s="476"/>
      <c r="DV49" s="493"/>
      <c r="DW49" s="492"/>
      <c r="DX49" s="476"/>
      <c r="DY49" s="476"/>
      <c r="DZ49" s="493"/>
      <c r="EA49" s="492"/>
      <c r="EB49" s="476"/>
      <c r="EC49" s="476"/>
      <c r="ED49" s="493"/>
      <c r="EE49" s="492"/>
      <c r="EF49" s="476"/>
      <c r="EG49" s="476"/>
      <c r="EH49" s="493"/>
      <c r="EI49" s="492"/>
      <c r="EJ49" s="476"/>
      <c r="EK49" s="476"/>
      <c r="EL49" s="493"/>
      <c r="EM49" s="492"/>
      <c r="EN49" s="476"/>
      <c r="EO49" s="476"/>
      <c r="EP49" s="493"/>
      <c r="EQ49" s="492"/>
      <c r="ER49" s="476"/>
      <c r="ES49" s="476"/>
      <c r="ET49" s="493"/>
      <c r="EU49" s="492"/>
      <c r="EV49" s="476"/>
      <c r="EW49" s="476"/>
      <c r="EX49" s="493"/>
      <c r="EY49" s="582">
        <f t="shared" si="3"/>
        <v>21894705.632284209</v>
      </c>
      <c r="EZ49" s="557"/>
      <c r="FA49" s="578">
        <f>+EY49</f>
        <v>21894705.632284209</v>
      </c>
      <c r="FB49" s="483"/>
      <c r="FD49" s="492"/>
      <c r="FE49" s="476"/>
      <c r="FF49" s="476"/>
      <c r="FG49" s="493"/>
      <c r="FH49" s="492"/>
      <c r="FI49" s="476"/>
      <c r="FJ49" s="476"/>
      <c r="FK49" s="493"/>
      <c r="FL49" s="492"/>
      <c r="FM49" s="476"/>
      <c r="FN49" s="476"/>
      <c r="FO49" s="493"/>
      <c r="FP49" s="492"/>
      <c r="FQ49" s="476"/>
      <c r="FR49" s="476"/>
      <c r="FS49" s="493"/>
      <c r="FT49" s="492"/>
      <c r="FU49" s="476"/>
      <c r="FV49" s="476"/>
      <c r="FW49" s="493"/>
      <c r="FX49" s="492"/>
      <c r="FY49" s="476"/>
      <c r="FZ49" s="476"/>
      <c r="GA49" s="493"/>
      <c r="GB49" s="492"/>
      <c r="GC49" s="476"/>
      <c r="GD49" s="476"/>
      <c r="GE49" s="493"/>
      <c r="GF49" s="492"/>
      <c r="GG49" s="476"/>
      <c r="GH49" s="476"/>
      <c r="GI49" s="493"/>
      <c r="GJ49" s="492"/>
      <c r="GK49" s="476"/>
      <c r="GL49" s="476"/>
      <c r="GM49" s="493"/>
      <c r="GN49" s="492"/>
      <c r="GO49" s="476"/>
      <c r="GP49" s="476"/>
      <c r="GQ49" s="493"/>
      <c r="GR49" s="492"/>
      <c r="GS49" s="476"/>
      <c r="GT49" s="476"/>
      <c r="GU49" s="493"/>
      <c r="GV49" s="492"/>
      <c r="GW49" s="476"/>
      <c r="GX49" s="476"/>
      <c r="GY49" s="493"/>
      <c r="GZ49" s="492"/>
      <c r="HA49" s="476"/>
      <c r="HB49" s="476"/>
      <c r="HC49" s="493"/>
      <c r="HD49" s="576"/>
      <c r="HE49" s="580"/>
      <c r="HF49" s="580"/>
      <c r="HG49" s="918"/>
      <c r="HH49" s="576"/>
      <c r="HI49" s="575"/>
      <c r="HJ49" s="575"/>
      <c r="HK49" s="918"/>
      <c r="HL49" s="576"/>
      <c r="HM49" s="575"/>
      <c r="HN49" s="575"/>
      <c r="HO49" s="918"/>
      <c r="HP49" s="576"/>
      <c r="HQ49" s="575"/>
      <c r="HR49" s="575"/>
      <c r="HS49" s="918"/>
      <c r="HT49" s="576"/>
      <c r="HU49" s="575"/>
      <c r="HV49" s="575"/>
      <c r="HW49" s="918"/>
      <c r="HY49" s="492"/>
      <c r="HZ49" s="476"/>
      <c r="IA49" s="476"/>
      <c r="IB49" s="493"/>
      <c r="IC49" s="492"/>
      <c r="ID49" s="476"/>
      <c r="IE49" s="476"/>
      <c r="IF49" s="493"/>
      <c r="IG49" s="492"/>
      <c r="IH49" s="476"/>
      <c r="II49" s="476"/>
      <c r="IJ49" s="493"/>
    </row>
    <row r="50" spans="1:244">
      <c r="A50" s="554" t="s">
        <v>23</v>
      </c>
      <c r="B50" s="574">
        <f t="shared" si="0"/>
        <v>2011</v>
      </c>
      <c r="C50" s="575">
        <f>+C49</f>
        <v>18611815.335795455</v>
      </c>
      <c r="D50" s="575">
        <f>+D49</f>
        <v>445791.98409090913</v>
      </c>
      <c r="E50" s="575">
        <f t="shared" si="6"/>
        <v>18166023.351704545</v>
      </c>
      <c r="F50" s="558">
        <f>+C$29*E50+D50</f>
        <v>2608775.6154460683</v>
      </c>
      <c r="G50" s="575">
        <f>+G49</f>
        <v>4807391.106136363</v>
      </c>
      <c r="H50" s="575">
        <f>+H49</f>
        <v>115840.74954545456</v>
      </c>
      <c r="I50" s="575">
        <f t="shared" si="7"/>
        <v>4691550.356590908</v>
      </c>
      <c r="J50" s="558">
        <f>+G$29*I50+H50</f>
        <v>674452.08844546846</v>
      </c>
      <c r="K50" s="576">
        <f>+K49</f>
        <v>12445855.266306818</v>
      </c>
      <c r="L50" s="575">
        <f>+L49</f>
        <v>305419.76113636367</v>
      </c>
      <c r="M50" s="575">
        <f t="shared" si="8"/>
        <v>12140435.505170453</v>
      </c>
      <c r="N50" s="558">
        <f>+K$29*M50+L50</f>
        <v>1750951.4973235643</v>
      </c>
      <c r="O50" s="576">
        <f>+O49</f>
        <v>5110715.6287878789</v>
      </c>
      <c r="P50" s="575">
        <f>+P49</f>
        <v>119316.31818181818</v>
      </c>
      <c r="Q50" s="575">
        <f t="shared" si="11"/>
        <v>4991399.3106060605</v>
      </c>
      <c r="R50" s="558">
        <f>+O$29*Q50+P50</f>
        <v>713629.93307570764</v>
      </c>
      <c r="S50" s="492">
        <f>+S49</f>
        <v>2400663.2078787871</v>
      </c>
      <c r="T50" s="476">
        <f>+T49</f>
        <v>58315.705454545445</v>
      </c>
      <c r="U50" s="476">
        <f t="shared" si="12"/>
        <v>2342347.5024242415</v>
      </c>
      <c r="V50" s="493">
        <f>+S$29*U50+T50</f>
        <v>337213.24998587958</v>
      </c>
      <c r="W50" s="492">
        <f>+W49</f>
        <v>29696076.450757574</v>
      </c>
      <c r="X50" s="476">
        <f>+X49</f>
        <v>693293.61363636365</v>
      </c>
      <c r="Y50" s="476">
        <f t="shared" si="13"/>
        <v>29002782.837121211</v>
      </c>
      <c r="Z50" s="493">
        <f>+W$29*Y50+X50</f>
        <v>4146583.4903421118</v>
      </c>
      <c r="AA50" s="492">
        <f>+AA49</f>
        <v>19348262.263257574</v>
      </c>
      <c r="AB50" s="476">
        <f>+AB49</f>
        <v>450833.29545454547</v>
      </c>
      <c r="AC50" s="476">
        <f t="shared" si="14"/>
        <v>18897428.967803027</v>
      </c>
      <c r="AD50" s="493">
        <f>+AA$29*AC50+AB50</f>
        <v>2700903.591010971</v>
      </c>
      <c r="AE50" s="492">
        <f>+AE49</f>
        <v>195410.17045454547</v>
      </c>
      <c r="AF50" s="476">
        <f>+AF49</f>
        <v>4597.886363636364</v>
      </c>
      <c r="AG50" s="476">
        <f t="shared" si="15"/>
        <v>190812.28409090912</v>
      </c>
      <c r="AH50" s="493">
        <f>+AE$29*AG50+AF50</f>
        <v>27317.434784309313</v>
      </c>
      <c r="AI50" s="492">
        <f>+AI49</f>
        <v>12954829.094696969</v>
      </c>
      <c r="AJ50" s="476">
        <f>+AJ49</f>
        <v>295547.43181818182</v>
      </c>
      <c r="AK50" s="476">
        <f t="shared" si="19"/>
        <v>12659281.662878787</v>
      </c>
      <c r="AL50" s="493">
        <f>+AI$29*AK50+AJ50</f>
        <v>1802856.9013368404</v>
      </c>
      <c r="AM50" s="492">
        <f>+AM49</f>
        <v>4822710.8321590908</v>
      </c>
      <c r="AN50" s="476">
        <f>+AN49</f>
        <v>110866.91568181818</v>
      </c>
      <c r="AO50" s="476">
        <f t="shared" si="16"/>
        <v>4711843.9164772723</v>
      </c>
      <c r="AP50" s="493">
        <f>+AM$29*AO50+AN50</f>
        <v>671894.5587451763</v>
      </c>
      <c r="AQ50" s="492">
        <f>+AQ49</f>
        <v>39590785.380681813</v>
      </c>
      <c r="AR50" s="476">
        <f>+AR49</f>
        <v>904932.23727272719</v>
      </c>
      <c r="AS50" s="476">
        <f t="shared" si="17"/>
        <v>38685853.143409088</v>
      </c>
      <c r="AT50" s="493">
        <f>+AQ$29*AS50+AR50</f>
        <v>5511161.4319716254</v>
      </c>
      <c r="AU50" s="576">
        <f>+AU49</f>
        <v>27625000</v>
      </c>
      <c r="AV50" s="575">
        <f>+AV49</f>
        <v>750000</v>
      </c>
      <c r="AW50" s="575">
        <f t="shared" si="1"/>
        <v>26875000</v>
      </c>
      <c r="AX50" s="558">
        <f>+AU$29*AW50+AV50</f>
        <v>750000</v>
      </c>
      <c r="AY50" s="576">
        <f>+AY49</f>
        <v>18083333.333333332</v>
      </c>
      <c r="AZ50" s="575">
        <f>+AZ49</f>
        <v>500000</v>
      </c>
      <c r="BA50" s="575">
        <f t="shared" si="2"/>
        <v>17583333.333333332</v>
      </c>
      <c r="BB50" s="558">
        <f>+AY$29*BA50+AZ50</f>
        <v>500000</v>
      </c>
      <c r="BC50" s="576">
        <f>+BC49</f>
        <v>28000000</v>
      </c>
      <c r="BD50" s="575">
        <f>+BD49</f>
        <v>750000</v>
      </c>
      <c r="BE50" s="575">
        <f t="shared" si="4"/>
        <v>27250000</v>
      </c>
      <c r="BF50" s="558">
        <f>+BC$29*BE50+BD50</f>
        <v>750000</v>
      </c>
      <c r="BG50" s="576">
        <f>+BG49</f>
        <v>18809523.80952381</v>
      </c>
      <c r="BH50" s="575">
        <f>+BH49</f>
        <v>571428.57142857148</v>
      </c>
      <c r="BI50" s="575">
        <f t="shared" si="5"/>
        <v>18238095.238095239</v>
      </c>
      <c r="BJ50" s="558">
        <f>+BG$29*BI50+BH50</f>
        <v>571428.57142857148</v>
      </c>
      <c r="BK50" s="576">
        <f>+BK49</f>
        <v>28400000</v>
      </c>
      <c r="BL50" s="575">
        <f>+BL49</f>
        <v>1200000</v>
      </c>
      <c r="BM50" s="575">
        <f t="shared" si="9"/>
        <v>27200000</v>
      </c>
      <c r="BN50" s="558">
        <f>+BK$29*BM50+BL50</f>
        <v>1200000</v>
      </c>
      <c r="BO50" s="576">
        <f>+BO49</f>
        <v>19166666.666666664</v>
      </c>
      <c r="BP50" s="575">
        <f>+BP49</f>
        <v>666666.66666666663</v>
      </c>
      <c r="BQ50" s="575">
        <f t="shared" si="10"/>
        <v>18499999.999999996</v>
      </c>
      <c r="BR50" s="558">
        <f>+BO$29*BQ50+BP50</f>
        <v>666666.66666666663</v>
      </c>
      <c r="BS50" s="492">
        <f>+BS49</f>
        <v>365679</v>
      </c>
      <c r="BT50" s="476">
        <f>+BT49</f>
        <v>8310.886363636364</v>
      </c>
      <c r="BU50" s="476">
        <f t="shared" si="18"/>
        <v>357368.11363636365</v>
      </c>
      <c r="BV50" s="493">
        <f>+BS$29*BU50+BT50</f>
        <v>50861.826940908883</v>
      </c>
      <c r="BW50" s="492">
        <f>+BW49</f>
        <v>25381014</v>
      </c>
      <c r="BX50" s="476">
        <f>+BX49</f>
        <v>288420.61363636365</v>
      </c>
      <c r="BY50" s="476">
        <f t="shared" ref="BY50:BY113" si="20">+BW50-BX50</f>
        <v>25092593.386363637</v>
      </c>
      <c r="BZ50" s="493">
        <f>+(((BW$29*BY50)*(12-BW$32)/12))+BX50</f>
        <v>1700497.1447706386</v>
      </c>
      <c r="CA50" s="492">
        <f>+CA49</f>
        <v>2395092.48</v>
      </c>
      <c r="CB50" s="476">
        <f>+CB49</f>
        <v>22680.799999999999</v>
      </c>
      <c r="CC50" s="476">
        <f t="shared" ref="CC50:CC113" si="21">+CA50-CB50</f>
        <v>2372411.6800000002</v>
      </c>
      <c r="CD50" s="493">
        <f>+(((CA$29*CC50)*(12-CA$32)/12))+CB50</f>
        <v>140379.638359926</v>
      </c>
      <c r="CE50" s="492">
        <f>+CE49</f>
        <v>207901.28</v>
      </c>
      <c r="CF50" s="476">
        <f>+CF49</f>
        <v>3543.7718181818182</v>
      </c>
      <c r="CG50" s="476">
        <f t="shared" ref="CG50:CG113" si="22">+CE50-CF50</f>
        <v>204357.50818181818</v>
      </c>
      <c r="CH50" s="493">
        <f>+(((CE$29*CG50)*(12-CE$32)/12))+CF50</f>
        <v>21793.030471988619</v>
      </c>
      <c r="CI50" s="492"/>
      <c r="CJ50" s="476"/>
      <c r="CK50" s="476"/>
      <c r="CL50" s="493"/>
      <c r="CM50" s="492"/>
      <c r="CN50" s="476"/>
      <c r="CO50" s="476"/>
      <c r="CP50" s="493"/>
      <c r="CQ50" s="492"/>
      <c r="CR50" s="476"/>
      <c r="CS50" s="476"/>
      <c r="CT50" s="493"/>
      <c r="CU50" s="492"/>
      <c r="CV50" s="476"/>
      <c r="CW50" s="476"/>
      <c r="CX50" s="493"/>
      <c r="CY50" s="492"/>
      <c r="CZ50" s="476"/>
      <c r="DA50" s="476"/>
      <c r="DB50" s="493"/>
      <c r="DC50" s="492"/>
      <c r="DD50" s="476"/>
      <c r="DE50" s="476"/>
      <c r="DF50" s="493"/>
      <c r="DG50" s="492"/>
      <c r="DH50" s="476"/>
      <c r="DI50" s="476"/>
      <c r="DJ50" s="493"/>
      <c r="DK50" s="492"/>
      <c r="DL50" s="476"/>
      <c r="DM50" s="476"/>
      <c r="DN50" s="493"/>
      <c r="DO50" s="492"/>
      <c r="DP50" s="476"/>
      <c r="DQ50" s="476"/>
      <c r="DR50" s="493"/>
      <c r="DS50" s="492"/>
      <c r="DT50" s="476"/>
      <c r="DU50" s="476"/>
      <c r="DV50" s="493"/>
      <c r="DW50" s="492"/>
      <c r="DX50" s="476"/>
      <c r="DY50" s="476"/>
      <c r="DZ50" s="493"/>
      <c r="EA50" s="492"/>
      <c r="EB50" s="476"/>
      <c r="EC50" s="476"/>
      <c r="ED50" s="493"/>
      <c r="EE50" s="492"/>
      <c r="EF50" s="476"/>
      <c r="EG50" s="476"/>
      <c r="EH50" s="493"/>
      <c r="EI50" s="492"/>
      <c r="EJ50" s="476"/>
      <c r="EK50" s="476"/>
      <c r="EL50" s="493"/>
      <c r="EM50" s="492"/>
      <c r="EN50" s="476"/>
      <c r="EO50" s="476"/>
      <c r="EP50" s="493"/>
      <c r="EQ50" s="492"/>
      <c r="ER50" s="476"/>
      <c r="ES50" s="476"/>
      <c r="ET50" s="493"/>
      <c r="EU50" s="492"/>
      <c r="EV50" s="476"/>
      <c r="EW50" s="476"/>
      <c r="EX50" s="493"/>
      <c r="EY50" s="582">
        <f t="shared" si="3"/>
        <v>22859271.433011182</v>
      </c>
      <c r="EZ50" s="579">
        <f>+EY50</f>
        <v>22859271.433011182</v>
      </c>
      <c r="FA50" s="553"/>
      <c r="FB50" s="600"/>
      <c r="FD50" s="492"/>
      <c r="FE50" s="476"/>
      <c r="FF50" s="476"/>
      <c r="FG50" s="493"/>
      <c r="FH50" s="492"/>
      <c r="FI50" s="476"/>
      <c r="FJ50" s="476"/>
      <c r="FK50" s="493"/>
      <c r="FL50" s="492"/>
      <c r="FM50" s="476"/>
      <c r="FN50" s="476"/>
      <c r="FO50" s="493"/>
      <c r="FP50" s="492"/>
      <c r="FQ50" s="476"/>
      <c r="FR50" s="476"/>
      <c r="FS50" s="493"/>
      <c r="FT50" s="492"/>
      <c r="FU50" s="476"/>
      <c r="FV50" s="476"/>
      <c r="FW50" s="493"/>
      <c r="FX50" s="492"/>
      <c r="FY50" s="476"/>
      <c r="FZ50" s="476"/>
      <c r="GA50" s="493"/>
      <c r="GB50" s="492"/>
      <c r="GC50" s="476"/>
      <c r="GD50" s="476"/>
      <c r="GE50" s="493"/>
      <c r="GF50" s="492"/>
      <c r="GG50" s="476"/>
      <c r="GH50" s="476"/>
      <c r="GI50" s="493"/>
      <c r="GJ50" s="492"/>
      <c r="GK50" s="476"/>
      <c r="GL50" s="476"/>
      <c r="GM50" s="493"/>
      <c r="GN50" s="492"/>
      <c r="GO50" s="476"/>
      <c r="GP50" s="476"/>
      <c r="GQ50" s="493"/>
      <c r="GR50" s="492"/>
      <c r="GS50" s="476"/>
      <c r="GT50" s="476"/>
      <c r="GU50" s="493"/>
      <c r="GV50" s="492"/>
      <c r="GW50" s="476"/>
      <c r="GX50" s="476"/>
      <c r="GY50" s="493"/>
      <c r="GZ50" s="492"/>
      <c r="HA50" s="476"/>
      <c r="HB50" s="476"/>
      <c r="HC50" s="493"/>
      <c r="HD50" s="576"/>
      <c r="HE50" s="580"/>
      <c r="HF50" s="580"/>
      <c r="HG50" s="918"/>
      <c r="HH50" s="576"/>
      <c r="HI50" s="575"/>
      <c r="HJ50" s="575"/>
      <c r="HK50" s="918"/>
      <c r="HL50" s="576"/>
      <c r="HM50" s="575"/>
      <c r="HN50" s="575"/>
      <c r="HO50" s="918"/>
      <c r="HP50" s="576"/>
      <c r="HQ50" s="575"/>
      <c r="HR50" s="575"/>
      <c r="HS50" s="918"/>
      <c r="HT50" s="576"/>
      <c r="HU50" s="575"/>
      <c r="HV50" s="575"/>
      <c r="HW50" s="918"/>
      <c r="HY50" s="492"/>
      <c r="HZ50" s="476"/>
      <c r="IA50" s="476"/>
      <c r="IB50" s="493"/>
      <c r="IC50" s="492"/>
      <c r="ID50" s="476"/>
      <c r="IE50" s="476"/>
      <c r="IF50" s="493"/>
      <c r="IG50" s="492"/>
      <c r="IH50" s="476"/>
      <c r="II50" s="476"/>
      <c r="IJ50" s="493"/>
    </row>
    <row r="51" spans="1:244">
      <c r="A51" s="554" t="s">
        <v>24</v>
      </c>
      <c r="B51" s="574">
        <f t="shared" si="0"/>
        <v>2012</v>
      </c>
      <c r="C51" s="575">
        <f>+E50</f>
        <v>18166023.351704545</v>
      </c>
      <c r="D51" s="575">
        <f>+C$31</f>
        <v>445791.98409090913</v>
      </c>
      <c r="E51" s="575">
        <f t="shared" si="6"/>
        <v>17720231.367613636</v>
      </c>
      <c r="F51" s="558">
        <f>+C$28*E51+D51</f>
        <v>2440191.0846697129</v>
      </c>
      <c r="G51" s="575">
        <f>+I50</f>
        <v>4691550.356590908</v>
      </c>
      <c r="H51" s="575">
        <f>+G$31</f>
        <v>115840.74954545456</v>
      </c>
      <c r="I51" s="575">
        <f t="shared" si="7"/>
        <v>4575709.607045453</v>
      </c>
      <c r="J51" s="558">
        <f>+G$28*I51+H51</f>
        <v>630833.52449759131</v>
      </c>
      <c r="K51" s="576">
        <f>+M50</f>
        <v>12140435.505170453</v>
      </c>
      <c r="L51" s="575">
        <f>+K$31</f>
        <v>305419.76113636367</v>
      </c>
      <c r="M51" s="575">
        <f t="shared" si="8"/>
        <v>11835015.744034089</v>
      </c>
      <c r="N51" s="558">
        <f>+K$28*M51+L51</f>
        <v>1637442.1408428121</v>
      </c>
      <c r="O51" s="576">
        <f>+Q50</f>
        <v>4991399.3106060605</v>
      </c>
      <c r="P51" s="575">
        <f>+O$31</f>
        <v>119316.31818181818</v>
      </c>
      <c r="Q51" s="575">
        <f t="shared" si="11"/>
        <v>4872082.9924242422</v>
      </c>
      <c r="R51" s="558">
        <f>+O$28*Q51+P51</f>
        <v>667665.70123757445</v>
      </c>
      <c r="S51" s="492">
        <f>+U50</f>
        <v>2342347.5024242415</v>
      </c>
      <c r="T51" s="476">
        <f>+S$31</f>
        <v>58315.705454545445</v>
      </c>
      <c r="U51" s="476">
        <f t="shared" si="12"/>
        <v>2284031.7969696959</v>
      </c>
      <c r="V51" s="493">
        <f>+S$28*U51+T51</f>
        <v>315381.81633474462</v>
      </c>
      <c r="W51" s="492">
        <f>+Y50</f>
        <v>29002782.837121211</v>
      </c>
      <c r="X51" s="476">
        <f>+W$31</f>
        <v>693293.61363636365</v>
      </c>
      <c r="Y51" s="476">
        <f t="shared" si="13"/>
        <v>28309489.223484848</v>
      </c>
      <c r="Z51" s="493">
        <f>+W$28*Y51+X51</f>
        <v>3879505.9532987764</v>
      </c>
      <c r="AA51" s="492">
        <f>+AC50</f>
        <v>18897428.967803027</v>
      </c>
      <c r="AB51" s="476">
        <f>+AA$31</f>
        <v>450833.29545454547</v>
      </c>
      <c r="AC51" s="476">
        <f t="shared" si="14"/>
        <v>18446595.672348481</v>
      </c>
      <c r="AD51" s="493">
        <f>+AA$28*AC51+AB51</f>
        <v>2526984.1681181858</v>
      </c>
      <c r="AE51" s="492">
        <f>+AG50</f>
        <v>190812.28409090912</v>
      </c>
      <c r="AF51" s="476">
        <f>+AE$31</f>
        <v>4597.886363636364</v>
      </c>
      <c r="AG51" s="476">
        <f t="shared" si="15"/>
        <v>186214.39772727276</v>
      </c>
      <c r="AH51" s="493">
        <f>+AE$28*AG51+AF51</f>
        <v>25556.180848484873</v>
      </c>
      <c r="AI51" s="492">
        <f>+AK50</f>
        <v>12659281.662878787</v>
      </c>
      <c r="AJ51" s="476">
        <f>+AI$31</f>
        <v>295547.43181818182</v>
      </c>
      <c r="AK51" s="476">
        <f t="shared" si="19"/>
        <v>12363734.231060605</v>
      </c>
      <c r="AL51" s="493">
        <f>+AI$28*AK51+AJ51</f>
        <v>1687076.6911533175</v>
      </c>
      <c r="AM51" s="492">
        <f>+AO50</f>
        <v>4711843.9164772723</v>
      </c>
      <c r="AN51" s="476">
        <f>+AM$31</f>
        <v>110866.91568181818</v>
      </c>
      <c r="AO51" s="476">
        <f t="shared" si="16"/>
        <v>4600977.0007954538</v>
      </c>
      <c r="AP51" s="493">
        <f>+AM$28*AO51+AN51</f>
        <v>628703.51734950638</v>
      </c>
      <c r="AQ51" s="492">
        <f>+AS50</f>
        <v>38685853.143409088</v>
      </c>
      <c r="AR51" s="476">
        <f>+AQ$31</f>
        <v>904932.23727272719</v>
      </c>
      <c r="AS51" s="476">
        <f t="shared" si="17"/>
        <v>37780920.906136364</v>
      </c>
      <c r="AT51" s="493">
        <f>+AQ$28*AS51+AR51</f>
        <v>5157147.2964931773</v>
      </c>
      <c r="AU51" s="576">
        <f>+AW50</f>
        <v>26875000</v>
      </c>
      <c r="AV51" s="575">
        <f>+AU$31</f>
        <v>750000</v>
      </c>
      <c r="AW51" s="575">
        <f t="shared" si="1"/>
        <v>26125000</v>
      </c>
      <c r="AX51" s="558">
        <f>+AU$28*AW51+AV51</f>
        <v>750000</v>
      </c>
      <c r="AY51" s="576">
        <f>+BA50</f>
        <v>17583333.333333332</v>
      </c>
      <c r="AZ51" s="575">
        <f>+AY$31</f>
        <v>500000</v>
      </c>
      <c r="BA51" s="575">
        <f t="shared" si="2"/>
        <v>17083333.333333332</v>
      </c>
      <c r="BB51" s="558">
        <f>+AY$28*BA51+AZ51</f>
        <v>500000</v>
      </c>
      <c r="BC51" s="576">
        <f>+BE50</f>
        <v>27250000</v>
      </c>
      <c r="BD51" s="575">
        <f>+BC$31</f>
        <v>750000</v>
      </c>
      <c r="BE51" s="575">
        <f t="shared" si="4"/>
        <v>26500000</v>
      </c>
      <c r="BF51" s="558">
        <f>+BC$28*BE51+BD51</f>
        <v>750000</v>
      </c>
      <c r="BG51" s="576">
        <f>+BI50</f>
        <v>18238095.238095239</v>
      </c>
      <c r="BH51" s="575">
        <f>+BG$31</f>
        <v>571428.57142857148</v>
      </c>
      <c r="BI51" s="575">
        <f t="shared" si="5"/>
        <v>17666666.666666668</v>
      </c>
      <c r="BJ51" s="558">
        <f>+BG$28*BI51+BH51</f>
        <v>571428.57142857148</v>
      </c>
      <c r="BK51" s="576">
        <f>+BM50</f>
        <v>27200000</v>
      </c>
      <c r="BL51" s="575">
        <f>+BK$31</f>
        <v>1200000</v>
      </c>
      <c r="BM51" s="575">
        <f t="shared" si="9"/>
        <v>26000000</v>
      </c>
      <c r="BN51" s="558">
        <f>+BK$28*BM51+BL51</f>
        <v>1200000</v>
      </c>
      <c r="BO51" s="576">
        <f>+BQ50</f>
        <v>18499999.999999996</v>
      </c>
      <c r="BP51" s="575">
        <f>+BO$31</f>
        <v>666666.66666666663</v>
      </c>
      <c r="BQ51" s="575">
        <f t="shared" si="10"/>
        <v>17833333.333333328</v>
      </c>
      <c r="BR51" s="558">
        <f>+BO$28*BQ51+BP51</f>
        <v>666666.66666666663</v>
      </c>
      <c r="BS51" s="492">
        <f>+BU50</f>
        <v>357368.11363636365</v>
      </c>
      <c r="BT51" s="476">
        <f>+BS$31</f>
        <v>8310.886363636364</v>
      </c>
      <c r="BU51" s="476">
        <f t="shared" si="18"/>
        <v>349057.22727272729</v>
      </c>
      <c r="BV51" s="493">
        <f>+BS$28*BU51+BT51</f>
        <v>47597.022401092036</v>
      </c>
      <c r="BW51" s="492">
        <f>+BY50</f>
        <v>25092593.386363637</v>
      </c>
      <c r="BX51" s="476">
        <f>+BW$31</f>
        <v>576841.22727272729</v>
      </c>
      <c r="BY51" s="476">
        <f t="shared" si="20"/>
        <v>24515752.15909091</v>
      </c>
      <c r="BZ51" s="493">
        <f>+BW$28*BY51+BX51</f>
        <v>3336071.2306385525</v>
      </c>
      <c r="CA51" s="492">
        <f>+CC50</f>
        <v>2372411.6800000002</v>
      </c>
      <c r="CB51" s="476">
        <f>+CA$31</f>
        <v>54433.919999999998</v>
      </c>
      <c r="CC51" s="476">
        <f t="shared" si="21"/>
        <v>2317977.7600000002</v>
      </c>
      <c r="CD51" s="493">
        <f>+CA$28*CC51+CB51</f>
        <v>315320.62423089636</v>
      </c>
      <c r="CE51" s="492">
        <f>+CG50</f>
        <v>204357.50818181818</v>
      </c>
      <c r="CF51" s="476">
        <f>+CE$31</f>
        <v>4725.0290909090909</v>
      </c>
      <c r="CG51" s="476">
        <f t="shared" si="22"/>
        <v>199632.4790909091</v>
      </c>
      <c r="CH51" s="493">
        <f>+CE$28*CG51+CF51</f>
        <v>27193.518834948136</v>
      </c>
      <c r="CI51" s="492">
        <f>+CI30</f>
        <v>543960</v>
      </c>
      <c r="CJ51" s="476">
        <f>+CI$31/12*(12-$CI$32)</f>
        <v>10302.272727272728</v>
      </c>
      <c r="CK51" s="476">
        <f>+CI51-CJ51</f>
        <v>533657.72727272729</v>
      </c>
      <c r="CL51" s="493">
        <f>+(((CI$28*CK51)*(12-CI$32)/12))+CJ51</f>
        <v>60354.595653619661</v>
      </c>
      <c r="CM51" s="492"/>
      <c r="CN51" s="476"/>
      <c r="CO51" s="476"/>
      <c r="CP51" s="493"/>
      <c r="CQ51" s="492"/>
      <c r="CR51" s="476"/>
      <c r="CS51" s="476"/>
      <c r="CT51" s="493"/>
      <c r="CU51" s="492"/>
      <c r="CV51" s="476"/>
      <c r="CW51" s="476"/>
      <c r="CX51" s="493"/>
      <c r="CY51" s="492"/>
      <c r="CZ51" s="476"/>
      <c r="DA51" s="476"/>
      <c r="DB51" s="493"/>
      <c r="DC51" s="492"/>
      <c r="DD51" s="476"/>
      <c r="DE51" s="476"/>
      <c r="DF51" s="493"/>
      <c r="DG51" s="492"/>
      <c r="DH51" s="476"/>
      <c r="DI51" s="476"/>
      <c r="DJ51" s="493"/>
      <c r="DK51" s="492"/>
      <c r="DL51" s="476"/>
      <c r="DM51" s="476"/>
      <c r="DN51" s="493"/>
      <c r="DO51" s="492"/>
      <c r="DP51" s="476"/>
      <c r="DQ51" s="476"/>
      <c r="DR51" s="493"/>
      <c r="DS51" s="492"/>
      <c r="DT51" s="476"/>
      <c r="DU51" s="476"/>
      <c r="DV51" s="493"/>
      <c r="DW51" s="492"/>
      <c r="DX51" s="476"/>
      <c r="DY51" s="476"/>
      <c r="DZ51" s="493"/>
      <c r="EA51" s="492"/>
      <c r="EB51" s="476"/>
      <c r="EC51" s="476"/>
      <c r="ED51" s="493"/>
      <c r="EE51" s="492"/>
      <c r="EF51" s="476"/>
      <c r="EG51" s="476"/>
      <c r="EH51" s="493"/>
      <c r="EI51" s="492"/>
      <c r="EJ51" s="476"/>
      <c r="EK51" s="476"/>
      <c r="EL51" s="493"/>
      <c r="EM51" s="492"/>
      <c r="EN51" s="476"/>
      <c r="EO51" s="476"/>
      <c r="EP51" s="493"/>
      <c r="EQ51" s="492"/>
      <c r="ER51" s="476"/>
      <c r="ES51" s="476"/>
      <c r="ET51" s="493"/>
      <c r="EU51" s="492"/>
      <c r="EV51" s="476"/>
      <c r="EW51" s="476"/>
      <c r="EX51" s="493"/>
      <c r="EY51" s="582">
        <f t="shared" si="3"/>
        <v>23383025.06660299</v>
      </c>
      <c r="EZ51" s="557"/>
      <c r="FA51" s="578">
        <f>+EY51</f>
        <v>23383025.06660299</v>
      </c>
      <c r="FB51" s="483"/>
      <c r="FD51" s="492"/>
      <c r="FE51" s="476"/>
      <c r="FF51" s="476"/>
      <c r="FG51" s="493"/>
      <c r="FH51" s="492"/>
      <c r="FI51" s="476"/>
      <c r="FJ51" s="476"/>
      <c r="FK51" s="493"/>
      <c r="FL51" s="492"/>
      <c r="FM51" s="476"/>
      <c r="FN51" s="476"/>
      <c r="FO51" s="493"/>
      <c r="FP51" s="492"/>
      <c r="FQ51" s="476"/>
      <c r="FR51" s="476"/>
      <c r="FS51" s="493"/>
      <c r="FT51" s="492"/>
      <c r="FU51" s="476"/>
      <c r="FV51" s="476"/>
      <c r="FW51" s="493"/>
      <c r="FX51" s="492"/>
      <c r="FY51" s="476"/>
      <c r="FZ51" s="476"/>
      <c r="GA51" s="493"/>
      <c r="GB51" s="492"/>
      <c r="GC51" s="476"/>
      <c r="GD51" s="476"/>
      <c r="GE51" s="493"/>
      <c r="GF51" s="492"/>
      <c r="GG51" s="476"/>
      <c r="GH51" s="476"/>
      <c r="GI51" s="493"/>
      <c r="GJ51" s="492"/>
      <c r="GK51" s="476"/>
      <c r="GL51" s="476"/>
      <c r="GM51" s="493"/>
      <c r="GN51" s="492"/>
      <c r="GO51" s="476"/>
      <c r="GP51" s="476"/>
      <c r="GQ51" s="493"/>
      <c r="GR51" s="492"/>
      <c r="GS51" s="476"/>
      <c r="GT51" s="476"/>
      <c r="GU51" s="493"/>
      <c r="GV51" s="492"/>
      <c r="GW51" s="476"/>
      <c r="GX51" s="476"/>
      <c r="GY51" s="493"/>
      <c r="GZ51" s="492"/>
      <c r="HA51" s="476"/>
      <c r="HB51" s="476"/>
      <c r="HC51" s="493"/>
      <c r="HD51" s="576"/>
      <c r="HE51" s="580"/>
      <c r="HF51" s="580"/>
      <c r="HG51" s="918"/>
      <c r="HH51" s="576"/>
      <c r="HI51" s="575"/>
      <c r="HJ51" s="575"/>
      <c r="HK51" s="918"/>
      <c r="HL51" s="576"/>
      <c r="HM51" s="575"/>
      <c r="HN51" s="575"/>
      <c r="HO51" s="918"/>
      <c r="HP51" s="576"/>
      <c r="HQ51" s="575"/>
      <c r="HR51" s="575"/>
      <c r="HS51" s="918"/>
      <c r="HT51" s="576"/>
      <c r="HU51" s="575"/>
      <c r="HV51" s="575"/>
      <c r="HW51" s="918"/>
      <c r="HY51" s="492"/>
      <c r="HZ51" s="476"/>
      <c r="IA51" s="476"/>
      <c r="IB51" s="493"/>
      <c r="IC51" s="492"/>
      <c r="ID51" s="476"/>
      <c r="IE51" s="476"/>
      <c r="IF51" s="493"/>
      <c r="IG51" s="492"/>
      <c r="IH51" s="476"/>
      <c r="II51" s="476"/>
      <c r="IJ51" s="493"/>
    </row>
    <row r="52" spans="1:244">
      <c r="A52" s="554" t="s">
        <v>23</v>
      </c>
      <c r="B52" s="574">
        <f t="shared" si="0"/>
        <v>2012</v>
      </c>
      <c r="C52" s="575">
        <f>+C51</f>
        <v>18166023.351704545</v>
      </c>
      <c r="D52" s="575">
        <f>+D51</f>
        <v>445791.98409090913</v>
      </c>
      <c r="E52" s="575">
        <f t="shared" si="6"/>
        <v>17720231.367613636</v>
      </c>
      <c r="F52" s="558">
        <f>+C$29*E52+D52</f>
        <v>2555696.2625293778</v>
      </c>
      <c r="G52" s="575">
        <f>+G51</f>
        <v>4691550.356590908</v>
      </c>
      <c r="H52" s="575">
        <f>+H51</f>
        <v>115840.74954545456</v>
      </c>
      <c r="I52" s="575">
        <f t="shared" si="7"/>
        <v>4575709.607045453</v>
      </c>
      <c r="J52" s="558">
        <f>+G$29*I52+H52</f>
        <v>660659.215880036</v>
      </c>
      <c r="K52" s="576">
        <f>+K51</f>
        <v>12140435.505170453</v>
      </c>
      <c r="L52" s="575">
        <f>+L51</f>
        <v>305419.76113636367</v>
      </c>
      <c r="M52" s="575">
        <f t="shared" si="8"/>
        <v>11835015.744034089</v>
      </c>
      <c r="N52" s="558">
        <f>+K$29*M52+L52</f>
        <v>1714585.9190547038</v>
      </c>
      <c r="O52" s="576">
        <f>+O51</f>
        <v>4991399.3106060605</v>
      </c>
      <c r="P52" s="575">
        <f>+P51</f>
        <v>119316.31818181818</v>
      </c>
      <c r="Q52" s="575">
        <f t="shared" si="11"/>
        <v>4872082.9924242422</v>
      </c>
      <c r="R52" s="558">
        <f>+O$29*Q52+P52</f>
        <v>699423.23311808472</v>
      </c>
      <c r="S52" s="492">
        <f>+S51</f>
        <v>2342347.5024242415</v>
      </c>
      <c r="T52" s="476">
        <f>+T51</f>
        <v>58315.705454545445</v>
      </c>
      <c r="U52" s="476">
        <f t="shared" si="12"/>
        <v>2284031.7969696959</v>
      </c>
      <c r="V52" s="493">
        <f>+S$29*U52+T52</f>
        <v>330269.74265314924</v>
      </c>
      <c r="W52" s="492">
        <f>+W51</f>
        <v>29002782.837121211</v>
      </c>
      <c r="X52" s="476">
        <f>+X51</f>
        <v>693293.61363636365</v>
      </c>
      <c r="Y52" s="476">
        <f t="shared" si="13"/>
        <v>28309489.223484848</v>
      </c>
      <c r="Z52" s="493">
        <f>+W$29*Y52+X52</f>
        <v>4064034.728349146</v>
      </c>
      <c r="AA52" s="492">
        <f>+AA51</f>
        <v>18897428.967803027</v>
      </c>
      <c r="AB52" s="476">
        <f>+AB51</f>
        <v>450833.29545454547</v>
      </c>
      <c r="AC52" s="476">
        <f t="shared" si="14"/>
        <v>18446595.672348481</v>
      </c>
      <c r="AD52" s="493">
        <f>+AA$29*AC52+AB52</f>
        <v>2647223.9815742369</v>
      </c>
      <c r="AE52" s="492">
        <f>+AE51</f>
        <v>190812.28409090912</v>
      </c>
      <c r="AF52" s="476">
        <f>+AF51</f>
        <v>4597.886363636364</v>
      </c>
      <c r="AG52" s="476">
        <f t="shared" si="15"/>
        <v>186214.39772727276</v>
      </c>
      <c r="AH52" s="493">
        <f>+AE$29*AG52+AF52</f>
        <v>26769.97578622081</v>
      </c>
      <c r="AI52" s="492">
        <f>+AI51</f>
        <v>12659281.662878787</v>
      </c>
      <c r="AJ52" s="476">
        <f>+AJ51</f>
        <v>295547.43181818182</v>
      </c>
      <c r="AK52" s="476">
        <f t="shared" si="19"/>
        <v>12363734.231060605</v>
      </c>
      <c r="AL52" s="493">
        <f>+AI$29*AK52+AJ52</f>
        <v>1767666.7969901012</v>
      </c>
      <c r="AM52" s="492">
        <f>+AM51</f>
        <v>4711843.9164772723</v>
      </c>
      <c r="AN52" s="476">
        <f>+AN51</f>
        <v>110866.91568181818</v>
      </c>
      <c r="AO52" s="476">
        <f t="shared" si="16"/>
        <v>4600977.0007954538</v>
      </c>
      <c r="AP52" s="493">
        <f>+AM$29*AO52+AN52</f>
        <v>658693.90832015616</v>
      </c>
      <c r="AQ52" s="492">
        <f>+AQ51</f>
        <v>38685853.143409088</v>
      </c>
      <c r="AR52" s="476">
        <f>+AR51</f>
        <v>904932.23727272719</v>
      </c>
      <c r="AS52" s="476">
        <f t="shared" si="17"/>
        <v>37780920.906136364</v>
      </c>
      <c r="AT52" s="493">
        <f>+AQ$29*AS52+AR52</f>
        <v>5403413.3806336392</v>
      </c>
      <c r="AU52" s="576">
        <f>+AU51</f>
        <v>26875000</v>
      </c>
      <c r="AV52" s="575">
        <f>+AV51</f>
        <v>750000</v>
      </c>
      <c r="AW52" s="575">
        <f t="shared" si="1"/>
        <v>26125000</v>
      </c>
      <c r="AX52" s="558">
        <f>+AU$29*AW52+AV52</f>
        <v>750000</v>
      </c>
      <c r="AY52" s="576">
        <f>+AY51</f>
        <v>17583333.333333332</v>
      </c>
      <c r="AZ52" s="575">
        <f>+AZ51</f>
        <v>500000</v>
      </c>
      <c r="BA52" s="575">
        <f t="shared" si="2"/>
        <v>17083333.333333332</v>
      </c>
      <c r="BB52" s="558">
        <f>+AY$29*BA52+AZ52</f>
        <v>500000</v>
      </c>
      <c r="BC52" s="576">
        <f>+BC51</f>
        <v>27250000</v>
      </c>
      <c r="BD52" s="575">
        <f>+BD51</f>
        <v>750000</v>
      </c>
      <c r="BE52" s="575">
        <f t="shared" si="4"/>
        <v>26500000</v>
      </c>
      <c r="BF52" s="558">
        <f>+BC$29*BE52+BD52</f>
        <v>750000</v>
      </c>
      <c r="BG52" s="576">
        <f>+BG51</f>
        <v>18238095.238095239</v>
      </c>
      <c r="BH52" s="575">
        <f>+BH51</f>
        <v>571428.57142857148</v>
      </c>
      <c r="BI52" s="575">
        <f t="shared" si="5"/>
        <v>17666666.666666668</v>
      </c>
      <c r="BJ52" s="558">
        <f>+BG$29*BI52+BH52</f>
        <v>571428.57142857148</v>
      </c>
      <c r="BK52" s="576">
        <f>+BK51</f>
        <v>27200000</v>
      </c>
      <c r="BL52" s="575">
        <f>+BL51</f>
        <v>1200000</v>
      </c>
      <c r="BM52" s="575">
        <f t="shared" si="9"/>
        <v>26000000</v>
      </c>
      <c r="BN52" s="558">
        <f>+BK$29*BM52+BL52</f>
        <v>1200000</v>
      </c>
      <c r="BO52" s="576">
        <f>+BO51</f>
        <v>18499999.999999996</v>
      </c>
      <c r="BP52" s="575">
        <f>+BP51</f>
        <v>666666.66666666663</v>
      </c>
      <c r="BQ52" s="575">
        <f t="shared" si="10"/>
        <v>17833333.333333328</v>
      </c>
      <c r="BR52" s="558">
        <f>+BO$29*BQ52+BP52</f>
        <v>666666.66666666663</v>
      </c>
      <c r="BS52" s="492">
        <f>+BS51</f>
        <v>357368.11363636365</v>
      </c>
      <c r="BT52" s="476">
        <f>+BT51</f>
        <v>8310.886363636364</v>
      </c>
      <c r="BU52" s="476">
        <f t="shared" si="18"/>
        <v>349057.22727272729</v>
      </c>
      <c r="BV52" s="493">
        <f>+BS$29*BU52+BT52</f>
        <v>49872.270183297893</v>
      </c>
      <c r="BW52" s="492">
        <f>+BW51</f>
        <v>25092593.386363637</v>
      </c>
      <c r="BX52" s="476">
        <f>+BX51</f>
        <v>576841.22727272729</v>
      </c>
      <c r="BY52" s="476">
        <f t="shared" si="20"/>
        <v>24515752.15909091</v>
      </c>
      <c r="BZ52" s="493">
        <f>+BW$29*BY52+BX52</f>
        <v>3336071.2306385525</v>
      </c>
      <c r="CA52" s="492">
        <f>+CA51</f>
        <v>2372411.6800000002</v>
      </c>
      <c r="CB52" s="476">
        <f>+CB51</f>
        <v>54433.919999999998</v>
      </c>
      <c r="CC52" s="476">
        <f t="shared" si="21"/>
        <v>2317977.7600000002</v>
      </c>
      <c r="CD52" s="493">
        <f>+CA$29*CC52+CB52</f>
        <v>330429.81935872516</v>
      </c>
      <c r="CE52" s="492">
        <f>+CE51</f>
        <v>204357.50818181818</v>
      </c>
      <c r="CF52" s="476">
        <f>+CF51</f>
        <v>4725.0290909090909</v>
      </c>
      <c r="CG52" s="476">
        <f t="shared" si="22"/>
        <v>199632.4790909091</v>
      </c>
      <c r="CH52" s="493">
        <f>+CE$29*CG52+CF52</f>
        <v>28494.776393362652</v>
      </c>
      <c r="CI52" s="492">
        <f>+CI51</f>
        <v>543960</v>
      </c>
      <c r="CJ52" s="476">
        <f>+CJ51</f>
        <v>10302.272727272728</v>
      </c>
      <c r="CK52" s="476">
        <f t="shared" ref="CK52:CK115" si="23">+CI52-CJ52</f>
        <v>533657.72727272729</v>
      </c>
      <c r="CL52" s="493">
        <f>+(((CI$28*CK52)*(12-CI$32)/12))+CJ52</f>
        <v>60354.595653619661</v>
      </c>
      <c r="CM52" s="492"/>
      <c r="CN52" s="476"/>
      <c r="CO52" s="476"/>
      <c r="CP52" s="493"/>
      <c r="CQ52" s="492"/>
      <c r="CR52" s="476"/>
      <c r="CS52" s="476"/>
      <c r="CT52" s="493"/>
      <c r="CU52" s="492"/>
      <c r="CV52" s="476"/>
      <c r="CW52" s="476"/>
      <c r="CX52" s="493"/>
      <c r="CY52" s="492"/>
      <c r="CZ52" s="476"/>
      <c r="DA52" s="476"/>
      <c r="DB52" s="493"/>
      <c r="DC52" s="492"/>
      <c r="DD52" s="476"/>
      <c r="DE52" s="476"/>
      <c r="DF52" s="493"/>
      <c r="DG52" s="492"/>
      <c r="DH52" s="476"/>
      <c r="DI52" s="476"/>
      <c r="DJ52" s="493"/>
      <c r="DK52" s="492"/>
      <c r="DL52" s="476"/>
      <c r="DM52" s="476"/>
      <c r="DN52" s="493"/>
      <c r="DO52" s="492"/>
      <c r="DP52" s="476"/>
      <c r="DQ52" s="476"/>
      <c r="DR52" s="493"/>
      <c r="DS52" s="492"/>
      <c r="DT52" s="476"/>
      <c r="DU52" s="476"/>
      <c r="DV52" s="493"/>
      <c r="DW52" s="492"/>
      <c r="DX52" s="476"/>
      <c r="DY52" s="476"/>
      <c r="DZ52" s="493"/>
      <c r="EA52" s="492"/>
      <c r="EB52" s="476"/>
      <c r="EC52" s="476"/>
      <c r="ED52" s="493"/>
      <c r="EE52" s="492"/>
      <c r="EF52" s="476"/>
      <c r="EG52" s="476"/>
      <c r="EH52" s="493"/>
      <c r="EI52" s="492"/>
      <c r="EJ52" s="476"/>
      <c r="EK52" s="476"/>
      <c r="EL52" s="493"/>
      <c r="EM52" s="492"/>
      <c r="EN52" s="476"/>
      <c r="EO52" s="476"/>
      <c r="EP52" s="493"/>
      <c r="EQ52" s="492"/>
      <c r="ER52" s="476"/>
      <c r="ES52" s="476"/>
      <c r="ET52" s="493"/>
      <c r="EU52" s="492"/>
      <c r="EV52" s="476"/>
      <c r="EW52" s="476"/>
      <c r="EX52" s="493"/>
      <c r="EY52" s="582">
        <f t="shared" si="3"/>
        <v>24333659.837116409</v>
      </c>
      <c r="EZ52" s="579">
        <f>+EY52</f>
        <v>24333659.837116409</v>
      </c>
      <c r="FA52" s="553"/>
      <c r="FB52" s="600"/>
      <c r="FD52" s="492"/>
      <c r="FE52" s="476"/>
      <c r="FF52" s="476"/>
      <c r="FG52" s="493"/>
      <c r="FH52" s="492"/>
      <c r="FI52" s="476"/>
      <c r="FJ52" s="476"/>
      <c r="FK52" s="493"/>
      <c r="FL52" s="492"/>
      <c r="FM52" s="476"/>
      <c r="FN52" s="476"/>
      <c r="FO52" s="493"/>
      <c r="FP52" s="492"/>
      <c r="FQ52" s="476"/>
      <c r="FR52" s="476"/>
      <c r="FS52" s="493"/>
      <c r="FT52" s="492"/>
      <c r="FU52" s="476"/>
      <c r="FV52" s="476"/>
      <c r="FW52" s="493"/>
      <c r="FX52" s="492"/>
      <c r="FY52" s="476"/>
      <c r="FZ52" s="476"/>
      <c r="GA52" s="493"/>
      <c r="GB52" s="492"/>
      <c r="GC52" s="476"/>
      <c r="GD52" s="476"/>
      <c r="GE52" s="493"/>
      <c r="GF52" s="492"/>
      <c r="GG52" s="476"/>
      <c r="GH52" s="476"/>
      <c r="GI52" s="493"/>
      <c r="GJ52" s="492"/>
      <c r="GK52" s="476"/>
      <c r="GL52" s="476"/>
      <c r="GM52" s="493"/>
      <c r="GN52" s="492"/>
      <c r="GO52" s="476"/>
      <c r="GP52" s="476"/>
      <c r="GQ52" s="493"/>
      <c r="GR52" s="492"/>
      <c r="GS52" s="476"/>
      <c r="GT52" s="476"/>
      <c r="GU52" s="493"/>
      <c r="GV52" s="492"/>
      <c r="GW52" s="476"/>
      <c r="GX52" s="476"/>
      <c r="GY52" s="493"/>
      <c r="GZ52" s="492"/>
      <c r="HA52" s="476"/>
      <c r="HB52" s="476"/>
      <c r="HC52" s="493"/>
      <c r="HD52" s="576"/>
      <c r="HE52" s="580"/>
      <c r="HF52" s="580"/>
      <c r="HG52" s="918"/>
      <c r="HH52" s="576"/>
      <c r="HI52" s="575"/>
      <c r="HJ52" s="575"/>
      <c r="HK52" s="918"/>
      <c r="HL52" s="576"/>
      <c r="HM52" s="575"/>
      <c r="HN52" s="575"/>
      <c r="HO52" s="918"/>
      <c r="HP52" s="576"/>
      <c r="HQ52" s="575"/>
      <c r="HR52" s="575"/>
      <c r="HS52" s="918"/>
      <c r="HT52" s="576"/>
      <c r="HU52" s="575"/>
      <c r="HV52" s="575"/>
      <c r="HW52" s="918"/>
      <c r="HY52" s="492"/>
      <c r="HZ52" s="476"/>
      <c r="IA52" s="476"/>
      <c r="IB52" s="493"/>
      <c r="IC52" s="492"/>
      <c r="ID52" s="476"/>
      <c r="IE52" s="476"/>
      <c r="IF52" s="493"/>
      <c r="IG52" s="492"/>
      <c r="IH52" s="476"/>
      <c r="II52" s="476"/>
      <c r="IJ52" s="493"/>
    </row>
    <row r="53" spans="1:244">
      <c r="A53" s="554" t="s">
        <v>24</v>
      </c>
      <c r="B53" s="574">
        <f t="shared" si="0"/>
        <v>2013</v>
      </c>
      <c r="C53" s="575">
        <f>+E52</f>
        <v>17720231.367613636</v>
      </c>
      <c r="D53" s="575">
        <f>+C$31</f>
        <v>445791.98409090913</v>
      </c>
      <c r="E53" s="575">
        <f t="shared" si="6"/>
        <v>17274439.383522727</v>
      </c>
      <c r="F53" s="558">
        <f>+C$28*E53+D53</f>
        <v>2390017.5223910008</v>
      </c>
      <c r="G53" s="575">
        <f>+I52</f>
        <v>4575709.607045453</v>
      </c>
      <c r="H53" s="575">
        <f>+G$31</f>
        <v>115840.74954545456</v>
      </c>
      <c r="I53" s="575">
        <f t="shared" si="7"/>
        <v>4459868.8574999981</v>
      </c>
      <c r="J53" s="558">
        <f>+G$28*I53+H53</f>
        <v>617795.73272665101</v>
      </c>
      <c r="K53" s="576">
        <f>+M52</f>
        <v>11835015.744034089</v>
      </c>
      <c r="L53" s="575">
        <f>+K$31</f>
        <v>305419.76113636367</v>
      </c>
      <c r="M53" s="575">
        <f t="shared" si="8"/>
        <v>11529595.982897725</v>
      </c>
      <c r="N53" s="558">
        <f>+K$28*M53+L53</f>
        <v>1603067.3697536136</v>
      </c>
      <c r="O53" s="576">
        <f>+Q52</f>
        <v>4872082.9924242422</v>
      </c>
      <c r="P53" s="575">
        <f>+O$31</f>
        <v>119316.31818181818</v>
      </c>
      <c r="Q53" s="575">
        <f t="shared" si="11"/>
        <v>4752766.6742424238</v>
      </c>
      <c r="R53" s="558">
        <f>+O$28*Q53+P53</f>
        <v>654236.73675457621</v>
      </c>
      <c r="S53" s="492">
        <f>+U52</f>
        <v>2284031.7969696959</v>
      </c>
      <c r="T53" s="476">
        <f>+S$31</f>
        <v>58315.705454545445</v>
      </c>
      <c r="U53" s="476">
        <f t="shared" si="12"/>
        <v>2225716.0915151504</v>
      </c>
      <c r="V53" s="493">
        <f>+S$28*U53+T53</f>
        <v>308818.42626971821</v>
      </c>
      <c r="W53" s="492">
        <f>+Y52</f>
        <v>28309489.223484848</v>
      </c>
      <c r="X53" s="476">
        <f>+W$31</f>
        <v>693293.61363636365</v>
      </c>
      <c r="Y53" s="476">
        <f t="shared" si="13"/>
        <v>27616195.609848484</v>
      </c>
      <c r="Z53" s="493">
        <f>+W$28*Y53+X53</f>
        <v>3801476.2633478604</v>
      </c>
      <c r="AA53" s="492">
        <f>+AC52</f>
        <v>18446595.672348481</v>
      </c>
      <c r="AB53" s="476">
        <f>+AA$31</f>
        <v>450833.29545454547</v>
      </c>
      <c r="AC53" s="476">
        <f t="shared" si="14"/>
        <v>17995762.376893934</v>
      </c>
      <c r="AD53" s="493">
        <f>+AA$28*AC53+AB53</f>
        <v>2476243.2099268138</v>
      </c>
      <c r="AE53" s="492">
        <f>+AG52</f>
        <v>186214.39772727276</v>
      </c>
      <c r="AF53" s="476">
        <f>+AE$31</f>
        <v>4597.886363636364</v>
      </c>
      <c r="AG53" s="476">
        <f t="shared" si="15"/>
        <v>181616.51136363641</v>
      </c>
      <c r="AH53" s="493">
        <f>+AE$28*AG53+AF53</f>
        <v>25038.692095772567</v>
      </c>
      <c r="AI53" s="492">
        <f>+AK52</f>
        <v>12363734.231060605</v>
      </c>
      <c r="AJ53" s="476">
        <f>+AI$31</f>
        <v>295547.43181818182</v>
      </c>
      <c r="AK53" s="476">
        <f t="shared" si="19"/>
        <v>12068186.799242424</v>
      </c>
      <c r="AL53" s="493">
        <f>+AI$28*AK53+AJ53</f>
        <v>1653813.0435198082</v>
      </c>
      <c r="AM53" s="492">
        <f>+AO52</f>
        <v>4600977.0007954538</v>
      </c>
      <c r="AN53" s="476">
        <f>+AM$31</f>
        <v>110866.91568181818</v>
      </c>
      <c r="AO53" s="476">
        <f t="shared" si="16"/>
        <v>4490110.0851136353</v>
      </c>
      <c r="AP53" s="493">
        <f>+AM$28*AO53+AN53</f>
        <v>616225.52694787527</v>
      </c>
      <c r="AQ53" s="492">
        <f>+AS52</f>
        <v>37780920.906136364</v>
      </c>
      <c r="AR53" s="476">
        <f>+AQ$31</f>
        <v>904932.23727272719</v>
      </c>
      <c r="AS53" s="476">
        <f t="shared" si="17"/>
        <v>36875988.668863639</v>
      </c>
      <c r="AT53" s="493">
        <f>+AQ$28*AS53+AR53</f>
        <v>5055297.8339968789</v>
      </c>
      <c r="AU53" s="576">
        <f>+AW52</f>
        <v>26125000</v>
      </c>
      <c r="AV53" s="575">
        <f>+AU$31</f>
        <v>750000</v>
      </c>
      <c r="AW53" s="575">
        <f t="shared" si="1"/>
        <v>25375000</v>
      </c>
      <c r="AX53" s="558">
        <f>+AU$28*AW53+AV53</f>
        <v>750000</v>
      </c>
      <c r="AY53" s="576">
        <f>+BA52</f>
        <v>17083333.333333332</v>
      </c>
      <c r="AZ53" s="575">
        <f>+AY$31</f>
        <v>500000</v>
      </c>
      <c r="BA53" s="575">
        <f t="shared" si="2"/>
        <v>16583333.333333332</v>
      </c>
      <c r="BB53" s="558">
        <f>+AY$28*BA53+AZ53</f>
        <v>500000</v>
      </c>
      <c r="BC53" s="576">
        <f>+BE52</f>
        <v>26500000</v>
      </c>
      <c r="BD53" s="575">
        <f>+BC$31</f>
        <v>750000</v>
      </c>
      <c r="BE53" s="575">
        <f t="shared" si="4"/>
        <v>25750000</v>
      </c>
      <c r="BF53" s="558">
        <f>+BC$28*BE53+BD53</f>
        <v>750000</v>
      </c>
      <c r="BG53" s="576">
        <f>+BI52</f>
        <v>17666666.666666668</v>
      </c>
      <c r="BH53" s="575">
        <f>+BG$31</f>
        <v>571428.57142857148</v>
      </c>
      <c r="BI53" s="575">
        <f t="shared" si="5"/>
        <v>17095238.095238097</v>
      </c>
      <c r="BJ53" s="558">
        <f>+BG$28*BI53+BH53</f>
        <v>571428.57142857148</v>
      </c>
      <c r="BK53" s="576">
        <f>+BM52</f>
        <v>26000000</v>
      </c>
      <c r="BL53" s="575">
        <f>+BK$31</f>
        <v>1200000</v>
      </c>
      <c r="BM53" s="575">
        <f t="shared" si="9"/>
        <v>24800000</v>
      </c>
      <c r="BN53" s="558">
        <f>+BK$28*BM53+BL53</f>
        <v>1200000</v>
      </c>
      <c r="BO53" s="576">
        <f>+BQ52</f>
        <v>17833333.333333328</v>
      </c>
      <c r="BP53" s="575">
        <f>+BO$31</f>
        <v>666666.66666666663</v>
      </c>
      <c r="BQ53" s="575">
        <f t="shared" si="10"/>
        <v>17166666.66666666</v>
      </c>
      <c r="BR53" s="558">
        <f>+BO$28*BQ53+BP53</f>
        <v>666666.66666666663</v>
      </c>
      <c r="BS53" s="492">
        <f>+BU52</f>
        <v>349057.22727272729</v>
      </c>
      <c r="BT53" s="476">
        <f>+BS$31</f>
        <v>8310.886363636364</v>
      </c>
      <c r="BU53" s="476">
        <f t="shared" si="18"/>
        <v>340746.34090909094</v>
      </c>
      <c r="BV53" s="493">
        <f>+BS$28*BU53+BT53</f>
        <v>46661.638209724042</v>
      </c>
      <c r="BW53" s="492">
        <f>+BY52</f>
        <v>24515752.15909091</v>
      </c>
      <c r="BX53" s="476">
        <f>+BW$31</f>
        <v>576841.22727272729</v>
      </c>
      <c r="BY53" s="476">
        <f t="shared" si="20"/>
        <v>23938910.931818184</v>
      </c>
      <c r="BZ53" s="493">
        <f>+BW$28*BY53+BX53</f>
        <v>3271148.1717358278</v>
      </c>
      <c r="CA53" s="492">
        <f>+CC52</f>
        <v>2317977.7600000002</v>
      </c>
      <c r="CB53" s="476">
        <f>+CA$31</f>
        <v>54433.919999999998</v>
      </c>
      <c r="CC53" s="476">
        <f t="shared" si="21"/>
        <v>2263543.8400000003</v>
      </c>
      <c r="CD53" s="493">
        <f>+CA$28*CC53+CB53</f>
        <v>309194.12628418254</v>
      </c>
      <c r="CE53" s="492">
        <f>+CG52</f>
        <v>199632.4790909091</v>
      </c>
      <c r="CF53" s="476">
        <f>+CE$31</f>
        <v>4725.0290909090909</v>
      </c>
      <c r="CG53" s="476">
        <f t="shared" si="22"/>
        <v>194907.45</v>
      </c>
      <c r="CH53" s="493">
        <f>+CE$28*CG53+CF53</f>
        <v>26661.720261124727</v>
      </c>
      <c r="CI53" s="492">
        <f>+CK52</f>
        <v>533657.72727272729</v>
      </c>
      <c r="CJ53" s="476">
        <f>+CI$31</f>
        <v>12362.727272727272</v>
      </c>
      <c r="CK53" s="476">
        <f t="shared" si="23"/>
        <v>521295</v>
      </c>
      <c r="CL53" s="493">
        <f>+CI$28*CK53+CJ53</f>
        <v>71034.09885743355</v>
      </c>
      <c r="CM53" s="492"/>
      <c r="CN53" s="476"/>
      <c r="CO53" s="476"/>
      <c r="CP53" s="493"/>
      <c r="CQ53" s="492"/>
      <c r="CR53" s="476"/>
      <c r="CS53" s="476"/>
      <c r="CT53" s="493"/>
      <c r="CU53" s="492"/>
      <c r="CV53" s="476"/>
      <c r="CW53" s="476"/>
      <c r="CX53" s="493"/>
      <c r="CY53" s="492"/>
      <c r="CZ53" s="476"/>
      <c r="DA53" s="476"/>
      <c r="DB53" s="493"/>
      <c r="DC53" s="492"/>
      <c r="DD53" s="476"/>
      <c r="DE53" s="476"/>
      <c r="DF53" s="493"/>
      <c r="DG53" s="492"/>
      <c r="DH53" s="476"/>
      <c r="DI53" s="476"/>
      <c r="DJ53" s="493"/>
      <c r="DK53" s="492"/>
      <c r="DL53" s="476"/>
      <c r="DM53" s="476"/>
      <c r="DN53" s="493"/>
      <c r="DO53" s="492"/>
      <c r="DP53" s="476"/>
      <c r="DQ53" s="476"/>
      <c r="DR53" s="493"/>
      <c r="DS53" s="492"/>
      <c r="DT53" s="476"/>
      <c r="DU53" s="476"/>
      <c r="DV53" s="493"/>
      <c r="DW53" s="492"/>
      <c r="DX53" s="476"/>
      <c r="DY53" s="476"/>
      <c r="DZ53" s="493"/>
      <c r="EA53" s="492"/>
      <c r="EB53" s="476"/>
      <c r="EC53" s="476"/>
      <c r="ED53" s="493"/>
      <c r="EE53" s="492"/>
      <c r="EF53" s="476"/>
      <c r="EG53" s="476"/>
      <c r="EH53" s="493"/>
      <c r="EI53" s="492"/>
      <c r="EJ53" s="476"/>
      <c r="EK53" s="476"/>
      <c r="EL53" s="493"/>
      <c r="EM53" s="492"/>
      <c r="EN53" s="476"/>
      <c r="EO53" s="476"/>
      <c r="EP53" s="493"/>
      <c r="EQ53" s="492"/>
      <c r="ER53" s="476"/>
      <c r="ES53" s="476"/>
      <c r="ET53" s="493"/>
      <c r="EU53" s="492"/>
      <c r="EV53" s="476"/>
      <c r="EW53" s="476"/>
      <c r="EX53" s="493"/>
      <c r="EY53" s="582">
        <f t="shared" si="3"/>
        <v>22926730.113078855</v>
      </c>
      <c r="EZ53" s="557"/>
      <c r="FA53" s="578">
        <f>+EY53</f>
        <v>22926730.113078855</v>
      </c>
      <c r="FB53" s="483"/>
      <c r="FD53" s="492"/>
      <c r="FE53" s="476"/>
      <c r="FF53" s="476"/>
      <c r="FG53" s="493"/>
      <c r="FH53" s="492"/>
      <c r="FI53" s="476"/>
      <c r="FJ53" s="476"/>
      <c r="FK53" s="493"/>
      <c r="FL53" s="492"/>
      <c r="FM53" s="476"/>
      <c r="FN53" s="476"/>
      <c r="FO53" s="493"/>
      <c r="FP53" s="492"/>
      <c r="FQ53" s="476"/>
      <c r="FR53" s="476"/>
      <c r="FS53" s="493"/>
      <c r="FT53" s="492"/>
      <c r="FU53" s="476"/>
      <c r="FV53" s="476"/>
      <c r="FW53" s="493"/>
      <c r="FX53" s="492"/>
      <c r="FY53" s="476"/>
      <c r="FZ53" s="476"/>
      <c r="GA53" s="493"/>
      <c r="GB53" s="492"/>
      <c r="GC53" s="476"/>
      <c r="GD53" s="476"/>
      <c r="GE53" s="493"/>
      <c r="GF53" s="492"/>
      <c r="GG53" s="476"/>
      <c r="GH53" s="476"/>
      <c r="GI53" s="493"/>
      <c r="GJ53" s="492"/>
      <c r="GK53" s="476"/>
      <c r="GL53" s="476"/>
      <c r="GM53" s="493"/>
      <c r="GN53" s="492"/>
      <c r="GO53" s="476"/>
      <c r="GP53" s="476"/>
      <c r="GQ53" s="493"/>
      <c r="GR53" s="492"/>
      <c r="GS53" s="476"/>
      <c r="GT53" s="476"/>
      <c r="GU53" s="493"/>
      <c r="GV53" s="492"/>
      <c r="GW53" s="476"/>
      <c r="GX53" s="476"/>
      <c r="GY53" s="493"/>
      <c r="GZ53" s="492"/>
      <c r="HA53" s="476"/>
      <c r="HB53" s="476"/>
      <c r="HC53" s="493"/>
      <c r="HD53" s="576"/>
      <c r="HE53" s="580"/>
      <c r="HF53" s="580"/>
      <c r="HG53" s="918"/>
      <c r="HH53" s="576"/>
      <c r="HI53" s="575"/>
      <c r="HJ53" s="575"/>
      <c r="HK53" s="918"/>
      <c r="HL53" s="576"/>
      <c r="HM53" s="575"/>
      <c r="HN53" s="575"/>
      <c r="HO53" s="918"/>
      <c r="HP53" s="576"/>
      <c r="HQ53" s="575"/>
      <c r="HR53" s="575"/>
      <c r="HS53" s="918"/>
      <c r="HT53" s="576"/>
      <c r="HU53" s="575"/>
      <c r="HV53" s="575"/>
      <c r="HW53" s="918"/>
      <c r="HY53" s="492"/>
      <c r="HZ53" s="476"/>
      <c r="IA53" s="476"/>
      <c r="IB53" s="493"/>
      <c r="IC53" s="492"/>
      <c r="ID53" s="476"/>
      <c r="IE53" s="476"/>
      <c r="IF53" s="493"/>
      <c r="IG53" s="492"/>
      <c r="IH53" s="476"/>
      <c r="II53" s="476"/>
      <c r="IJ53" s="493"/>
    </row>
    <row r="54" spans="1:244">
      <c r="A54" s="554" t="s">
        <v>23</v>
      </c>
      <c r="B54" s="574">
        <f t="shared" si="0"/>
        <v>2013</v>
      </c>
      <c r="C54" s="575">
        <f>+C53</f>
        <v>17720231.367613636</v>
      </c>
      <c r="D54" s="575">
        <f>+D53</f>
        <v>445791.98409090913</v>
      </c>
      <c r="E54" s="575">
        <f t="shared" si="6"/>
        <v>17274439.383522727</v>
      </c>
      <c r="F54" s="558">
        <f>+C$29*E54+D54</f>
        <v>2502616.9096126864</v>
      </c>
      <c r="G54" s="575">
        <f>+G53</f>
        <v>4575709.607045453</v>
      </c>
      <c r="H54" s="575">
        <f>+H53</f>
        <v>115840.74954545456</v>
      </c>
      <c r="I54" s="575">
        <f t="shared" si="7"/>
        <v>4459868.8574999981</v>
      </c>
      <c r="J54" s="558">
        <f>+G$29*I54+H54</f>
        <v>646866.34331460355</v>
      </c>
      <c r="K54" s="576">
        <f>+K53</f>
        <v>11835015.744034089</v>
      </c>
      <c r="L54" s="575">
        <f>+L53</f>
        <v>305419.76113636367</v>
      </c>
      <c r="M54" s="575">
        <f t="shared" si="8"/>
        <v>11529595.982897725</v>
      </c>
      <c r="N54" s="558">
        <f>+K$29*M54+L54</f>
        <v>1678220.3407858433</v>
      </c>
      <c r="O54" s="576">
        <f>+O53</f>
        <v>4872082.9924242422</v>
      </c>
      <c r="P54" s="575">
        <f>+P53</f>
        <v>119316.31818181818</v>
      </c>
      <c r="Q54" s="575">
        <f t="shared" si="11"/>
        <v>4752766.6742424238</v>
      </c>
      <c r="R54" s="558">
        <f>+O$29*Q54+P54</f>
        <v>685216.53316046181</v>
      </c>
      <c r="S54" s="492">
        <f>+S53</f>
        <v>2284031.7969696959</v>
      </c>
      <c r="T54" s="476">
        <f>+T53</f>
        <v>58315.705454545445</v>
      </c>
      <c r="U54" s="476">
        <f t="shared" si="12"/>
        <v>2225716.0915151504</v>
      </c>
      <c r="V54" s="493">
        <f>+S$29*U54+T54</f>
        <v>323326.2353204189</v>
      </c>
      <c r="W54" s="492">
        <f>+W53</f>
        <v>28309489.223484848</v>
      </c>
      <c r="X54" s="476">
        <f>+X53</f>
        <v>693293.61363636365</v>
      </c>
      <c r="Y54" s="476">
        <f t="shared" si="13"/>
        <v>27616195.609848484</v>
      </c>
      <c r="Z54" s="493">
        <f>+W$29*Y54+X54</f>
        <v>3981485.9663561797</v>
      </c>
      <c r="AA54" s="492">
        <f>+AA53</f>
        <v>18446595.672348481</v>
      </c>
      <c r="AB54" s="476">
        <f>+AB53</f>
        <v>450833.29545454547</v>
      </c>
      <c r="AC54" s="476">
        <f t="shared" si="14"/>
        <v>17995762.376893934</v>
      </c>
      <c r="AD54" s="493">
        <f>+AA$29*AC54+AB54</f>
        <v>2593544.3721375032</v>
      </c>
      <c r="AE54" s="492">
        <f>+AE53</f>
        <v>186214.39772727276</v>
      </c>
      <c r="AF54" s="476">
        <f>+AF53</f>
        <v>4597.886363636364</v>
      </c>
      <c r="AG54" s="476">
        <f t="shared" si="15"/>
        <v>181616.51136363641</v>
      </c>
      <c r="AH54" s="493">
        <f>+AE$29*AG54+AF54</f>
        <v>26222.516788132307</v>
      </c>
      <c r="AI54" s="492">
        <f>+AI53</f>
        <v>12363734.231060605</v>
      </c>
      <c r="AJ54" s="476">
        <f>+AJ53</f>
        <v>295547.43181818182</v>
      </c>
      <c r="AK54" s="476">
        <f t="shared" si="19"/>
        <v>12068186.799242424</v>
      </c>
      <c r="AL54" s="493">
        <f>+AI$29*AK54+AJ54</f>
        <v>1732476.6926433623</v>
      </c>
      <c r="AM54" s="492">
        <f>+AM53</f>
        <v>4600977.0007954538</v>
      </c>
      <c r="AN54" s="476">
        <f>+AN53</f>
        <v>110866.91568181818</v>
      </c>
      <c r="AO54" s="476">
        <f t="shared" si="16"/>
        <v>4490110.0851136353</v>
      </c>
      <c r="AP54" s="493">
        <f>+AM$29*AO54+AN54</f>
        <v>645493.2578951359</v>
      </c>
      <c r="AQ54" s="492">
        <f>+AQ53</f>
        <v>37780920.906136364</v>
      </c>
      <c r="AR54" s="476">
        <f>+AR53</f>
        <v>904932.23727272719</v>
      </c>
      <c r="AS54" s="476">
        <f t="shared" si="17"/>
        <v>36875988.668863639</v>
      </c>
      <c r="AT54" s="493">
        <f>+AQ$29*AS54+AR54</f>
        <v>5295665.3292956538</v>
      </c>
      <c r="AU54" s="576">
        <f>+AU53</f>
        <v>26125000</v>
      </c>
      <c r="AV54" s="575">
        <f>+AV53</f>
        <v>750000</v>
      </c>
      <c r="AW54" s="575">
        <f t="shared" si="1"/>
        <v>25375000</v>
      </c>
      <c r="AX54" s="558">
        <f>+AU$29*AW54+AV54</f>
        <v>750000</v>
      </c>
      <c r="AY54" s="576">
        <f>+AY53</f>
        <v>17083333.333333332</v>
      </c>
      <c r="AZ54" s="575">
        <f>+AZ53</f>
        <v>500000</v>
      </c>
      <c r="BA54" s="575">
        <f t="shared" si="2"/>
        <v>16583333.333333332</v>
      </c>
      <c r="BB54" s="558">
        <f>+AY$29*BA54+AZ54</f>
        <v>500000</v>
      </c>
      <c r="BC54" s="576">
        <f>+BC53</f>
        <v>26500000</v>
      </c>
      <c r="BD54" s="575">
        <f>+BD53</f>
        <v>750000</v>
      </c>
      <c r="BE54" s="575">
        <f t="shared" si="4"/>
        <v>25750000</v>
      </c>
      <c r="BF54" s="558">
        <f>+BC$29*BE54+BD54</f>
        <v>750000</v>
      </c>
      <c r="BG54" s="576">
        <f>+BG53</f>
        <v>17666666.666666668</v>
      </c>
      <c r="BH54" s="575">
        <f>+BH53</f>
        <v>571428.57142857148</v>
      </c>
      <c r="BI54" s="575">
        <f t="shared" si="5"/>
        <v>17095238.095238097</v>
      </c>
      <c r="BJ54" s="558">
        <f>+BG$29*BI54+BH54</f>
        <v>571428.57142857148</v>
      </c>
      <c r="BK54" s="576">
        <f>+BK53</f>
        <v>26000000</v>
      </c>
      <c r="BL54" s="575">
        <f>+BL53</f>
        <v>1200000</v>
      </c>
      <c r="BM54" s="575">
        <f t="shared" si="9"/>
        <v>24800000</v>
      </c>
      <c r="BN54" s="558">
        <f>+BK$29*BM54+BL54</f>
        <v>1200000</v>
      </c>
      <c r="BO54" s="576">
        <f>+BO53</f>
        <v>17833333.333333328</v>
      </c>
      <c r="BP54" s="575">
        <f>+BP53</f>
        <v>666666.66666666663</v>
      </c>
      <c r="BQ54" s="575">
        <f t="shared" si="10"/>
        <v>17166666.66666666</v>
      </c>
      <c r="BR54" s="558">
        <f>+BO$29*BQ54+BP54</f>
        <v>666666.66666666663</v>
      </c>
      <c r="BS54" s="492">
        <f>+BS53</f>
        <v>349057.22727272729</v>
      </c>
      <c r="BT54" s="476">
        <f>+BT53</f>
        <v>8310.886363636364</v>
      </c>
      <c r="BU54" s="476">
        <f t="shared" si="18"/>
        <v>340746.34090909094</v>
      </c>
      <c r="BV54" s="493">
        <f>+BS$29*BU54+BT54</f>
        <v>48882.713425686918</v>
      </c>
      <c r="BW54" s="492">
        <f>+BW53</f>
        <v>24515752.15909091</v>
      </c>
      <c r="BX54" s="476">
        <f>+BX53</f>
        <v>576841.22727272729</v>
      </c>
      <c r="BY54" s="476">
        <f t="shared" si="20"/>
        <v>23938910.931818184</v>
      </c>
      <c r="BZ54" s="493">
        <f>+BW$29*BY54+BX54</f>
        <v>3271148.1717358278</v>
      </c>
      <c r="CA54" s="492">
        <f>+CA53</f>
        <v>2317977.7600000002</v>
      </c>
      <c r="CB54" s="476">
        <f>+CB53</f>
        <v>54433.919999999998</v>
      </c>
      <c r="CC54" s="476">
        <f t="shared" si="21"/>
        <v>2263543.8400000003</v>
      </c>
      <c r="CD54" s="493">
        <f>+CA$29*CC54+CB54</f>
        <v>323948.5066536279</v>
      </c>
      <c r="CE54" s="492">
        <f>+CE53</f>
        <v>199632.4790909091</v>
      </c>
      <c r="CF54" s="476">
        <f>+CF53</f>
        <v>4725.0290909090909</v>
      </c>
      <c r="CG54" s="476">
        <f t="shared" si="22"/>
        <v>194907.45</v>
      </c>
      <c r="CH54" s="493">
        <f>+CE$29*CG54+CF54</f>
        <v>27932.17882407381</v>
      </c>
      <c r="CI54" s="492">
        <f>+CI53</f>
        <v>533657.72727272729</v>
      </c>
      <c r="CJ54" s="476">
        <f>+CJ53</f>
        <v>12362.727272727272</v>
      </c>
      <c r="CK54" s="476">
        <f t="shared" si="23"/>
        <v>521295</v>
      </c>
      <c r="CL54" s="493">
        <f>+CI$29*CK54+CJ54</f>
        <v>71034.09885743355</v>
      </c>
      <c r="CM54" s="492"/>
      <c r="CN54" s="476"/>
      <c r="CO54" s="476"/>
      <c r="CP54" s="493"/>
      <c r="CQ54" s="492"/>
      <c r="CR54" s="476"/>
      <c r="CS54" s="476"/>
      <c r="CT54" s="493"/>
      <c r="CU54" s="492"/>
      <c r="CV54" s="476"/>
      <c r="CW54" s="476"/>
      <c r="CX54" s="493"/>
      <c r="CY54" s="492"/>
      <c r="CZ54" s="476"/>
      <c r="DA54" s="476"/>
      <c r="DB54" s="493"/>
      <c r="DC54" s="492"/>
      <c r="DD54" s="476"/>
      <c r="DE54" s="476"/>
      <c r="DF54" s="493"/>
      <c r="DG54" s="492"/>
      <c r="DH54" s="476"/>
      <c r="DI54" s="476"/>
      <c r="DJ54" s="493"/>
      <c r="DK54" s="492"/>
      <c r="DL54" s="476"/>
      <c r="DM54" s="476"/>
      <c r="DN54" s="493"/>
      <c r="DO54" s="492"/>
      <c r="DP54" s="476"/>
      <c r="DQ54" s="476"/>
      <c r="DR54" s="493"/>
      <c r="DS54" s="492"/>
      <c r="DT54" s="476"/>
      <c r="DU54" s="476"/>
      <c r="DV54" s="493"/>
      <c r="DW54" s="492"/>
      <c r="DX54" s="476"/>
      <c r="DY54" s="476"/>
      <c r="DZ54" s="493"/>
      <c r="EA54" s="492"/>
      <c r="EB54" s="476"/>
      <c r="EC54" s="476"/>
      <c r="ED54" s="493"/>
      <c r="EE54" s="492"/>
      <c r="EF54" s="476"/>
      <c r="EG54" s="476"/>
      <c r="EH54" s="493"/>
      <c r="EI54" s="492"/>
      <c r="EJ54" s="476"/>
      <c r="EK54" s="476"/>
      <c r="EL54" s="493"/>
      <c r="EM54" s="492"/>
      <c r="EN54" s="476"/>
      <c r="EO54" s="476"/>
      <c r="EP54" s="493"/>
      <c r="EQ54" s="492"/>
      <c r="ER54" s="476"/>
      <c r="ES54" s="476"/>
      <c r="ET54" s="493"/>
      <c r="EU54" s="492"/>
      <c r="EV54" s="476"/>
      <c r="EW54" s="476"/>
      <c r="EX54" s="493"/>
      <c r="EY54" s="582">
        <f t="shared" si="3"/>
        <v>23854080.166806635</v>
      </c>
      <c r="EZ54" s="579">
        <f>+EY54</f>
        <v>23854080.166806635</v>
      </c>
      <c r="FA54" s="553"/>
      <c r="FB54" s="600"/>
      <c r="FD54" s="492"/>
      <c r="FE54" s="476"/>
      <c r="FF54" s="476"/>
      <c r="FG54" s="493"/>
      <c r="FH54" s="492"/>
      <c r="FI54" s="476"/>
      <c r="FJ54" s="476"/>
      <c r="FK54" s="493"/>
      <c r="FL54" s="492"/>
      <c r="FM54" s="476"/>
      <c r="FN54" s="476"/>
      <c r="FO54" s="493"/>
      <c r="FP54" s="492"/>
      <c r="FQ54" s="476"/>
      <c r="FR54" s="476"/>
      <c r="FS54" s="493"/>
      <c r="FT54" s="492"/>
      <c r="FU54" s="476"/>
      <c r="FV54" s="476"/>
      <c r="FW54" s="493"/>
      <c r="FX54" s="492"/>
      <c r="FY54" s="476"/>
      <c r="FZ54" s="476"/>
      <c r="GA54" s="493"/>
      <c r="GB54" s="492"/>
      <c r="GC54" s="476"/>
      <c r="GD54" s="476"/>
      <c r="GE54" s="493"/>
      <c r="GF54" s="492"/>
      <c r="GG54" s="476"/>
      <c r="GH54" s="476"/>
      <c r="GI54" s="493"/>
      <c r="GJ54" s="492"/>
      <c r="GK54" s="476"/>
      <c r="GL54" s="476"/>
      <c r="GM54" s="493"/>
      <c r="GN54" s="492"/>
      <c r="GO54" s="476"/>
      <c r="GP54" s="476"/>
      <c r="GQ54" s="493"/>
      <c r="GR54" s="492"/>
      <c r="GS54" s="476"/>
      <c r="GT54" s="476"/>
      <c r="GU54" s="493"/>
      <c r="GV54" s="492"/>
      <c r="GW54" s="476"/>
      <c r="GX54" s="476"/>
      <c r="GY54" s="493"/>
      <c r="GZ54" s="492"/>
      <c r="HA54" s="476"/>
      <c r="HB54" s="476"/>
      <c r="HC54" s="493"/>
      <c r="HD54" s="576"/>
      <c r="HE54" s="580"/>
      <c r="HF54" s="580"/>
      <c r="HG54" s="918"/>
      <c r="HH54" s="576"/>
      <c r="HI54" s="575"/>
      <c r="HJ54" s="575"/>
      <c r="HK54" s="918"/>
      <c r="HL54" s="576"/>
      <c r="HM54" s="575"/>
      <c r="HN54" s="575"/>
      <c r="HO54" s="918"/>
      <c r="HP54" s="576"/>
      <c r="HQ54" s="575"/>
      <c r="HR54" s="575"/>
      <c r="HS54" s="918"/>
      <c r="HT54" s="576"/>
      <c r="HU54" s="575"/>
      <c r="HV54" s="575"/>
      <c r="HW54" s="918"/>
      <c r="HY54" s="492"/>
      <c r="HZ54" s="476"/>
      <c r="IA54" s="476"/>
      <c r="IB54" s="493"/>
      <c r="IC54" s="492"/>
      <c r="ID54" s="476"/>
      <c r="IE54" s="476"/>
      <c r="IF54" s="493"/>
      <c r="IG54" s="492"/>
      <c r="IH54" s="476"/>
      <c r="II54" s="476"/>
      <c r="IJ54" s="493"/>
    </row>
    <row r="55" spans="1:244">
      <c r="A55" s="554" t="s">
        <v>24</v>
      </c>
      <c r="B55" s="574">
        <f t="shared" si="0"/>
        <v>2014</v>
      </c>
      <c r="C55" s="575">
        <f>+E54</f>
        <v>17274439.383522727</v>
      </c>
      <c r="D55" s="575">
        <f>+C$31</f>
        <v>445791.98409090913</v>
      </c>
      <c r="E55" s="575">
        <f t="shared" si="6"/>
        <v>16828647.399431817</v>
      </c>
      <c r="F55" s="558">
        <f>+C$28*E55+D55</f>
        <v>2339843.9601122886</v>
      </c>
      <c r="G55" s="575">
        <f>+I54</f>
        <v>4459868.8574999981</v>
      </c>
      <c r="H55" s="575">
        <f>+G$31</f>
        <v>115840.74954545456</v>
      </c>
      <c r="I55" s="575">
        <f t="shared" si="7"/>
        <v>4344028.1079545431</v>
      </c>
      <c r="J55" s="558">
        <f>+G$28*I55+H55</f>
        <v>604757.94095571083</v>
      </c>
      <c r="K55" s="576">
        <f>+M54</f>
        <v>11529595.982897725</v>
      </c>
      <c r="L55" s="575">
        <f>+K$31</f>
        <v>305419.76113636367</v>
      </c>
      <c r="M55" s="575">
        <f t="shared" si="8"/>
        <v>11224176.221761361</v>
      </c>
      <c r="N55" s="558">
        <f>+K$28*M55+L55</f>
        <v>1568692.5986644148</v>
      </c>
      <c r="O55" s="576">
        <f>+Q54</f>
        <v>4752766.6742424238</v>
      </c>
      <c r="P55" s="575">
        <f>+O$31</f>
        <v>119316.31818181818</v>
      </c>
      <c r="Q55" s="575">
        <f t="shared" si="11"/>
        <v>4633450.3560606055</v>
      </c>
      <c r="R55" s="558">
        <f>+O$28*Q55+P55</f>
        <v>640807.77227157808</v>
      </c>
      <c r="S55" s="492">
        <f>+U54</f>
        <v>2225716.0915151504</v>
      </c>
      <c r="T55" s="476">
        <f>+S$31</f>
        <v>58315.705454545445</v>
      </c>
      <c r="U55" s="476">
        <f t="shared" si="12"/>
        <v>2167400.3860606048</v>
      </c>
      <c r="V55" s="493">
        <f>+S$28*U55+T55</f>
        <v>302255.03620469186</v>
      </c>
      <c r="W55" s="492">
        <f>+Y54</f>
        <v>27616195.609848484</v>
      </c>
      <c r="X55" s="476">
        <f>+W$31</f>
        <v>693293.61363636365</v>
      </c>
      <c r="Y55" s="476">
        <f t="shared" si="13"/>
        <v>26922901.996212121</v>
      </c>
      <c r="Z55" s="493">
        <f>+W$28*Y55+X55</f>
        <v>3723446.573396944</v>
      </c>
      <c r="AA55" s="492">
        <f>+AC54</f>
        <v>17995762.376893934</v>
      </c>
      <c r="AB55" s="476">
        <f>+AA$31</f>
        <v>450833.29545454547</v>
      </c>
      <c r="AC55" s="476">
        <f t="shared" si="14"/>
        <v>17544929.081439387</v>
      </c>
      <c r="AD55" s="493">
        <f>+AA$28*AC55+AB55</f>
        <v>2425502.2517354414</v>
      </c>
      <c r="AE55" s="492">
        <f>+AG54</f>
        <v>181616.51136363641</v>
      </c>
      <c r="AF55" s="476">
        <f>+AE$31</f>
        <v>4597.886363636364</v>
      </c>
      <c r="AG55" s="476">
        <f t="shared" si="15"/>
        <v>177018.62500000006</v>
      </c>
      <c r="AH55" s="493">
        <f>+AE$28*AG55+AF55</f>
        <v>24521.203343060261</v>
      </c>
      <c r="AI55" s="492">
        <f>+AK54</f>
        <v>12068186.799242424</v>
      </c>
      <c r="AJ55" s="476">
        <f>+AI$31</f>
        <v>295547.43181818182</v>
      </c>
      <c r="AK55" s="476">
        <f t="shared" si="19"/>
        <v>11772639.367424242</v>
      </c>
      <c r="AL55" s="493">
        <f>+AI$28*AK55+AJ55</f>
        <v>1620549.3958862992</v>
      </c>
      <c r="AM55" s="492">
        <f>+AO54</f>
        <v>4490110.0851136353</v>
      </c>
      <c r="AN55" s="476">
        <f>+AM$31</f>
        <v>110866.91568181818</v>
      </c>
      <c r="AO55" s="476">
        <f t="shared" si="16"/>
        <v>4379243.1694318168</v>
      </c>
      <c r="AP55" s="493">
        <f>+AM$28*AO55+AN55</f>
        <v>603747.53654624417</v>
      </c>
      <c r="AQ55" s="492">
        <f>+AS54</f>
        <v>36875988.668863639</v>
      </c>
      <c r="AR55" s="476">
        <f>+AQ$31</f>
        <v>904932.23727272719</v>
      </c>
      <c r="AS55" s="476">
        <f t="shared" si="17"/>
        <v>35971056.431590915</v>
      </c>
      <c r="AT55" s="493">
        <f>+AQ$28*AS55+AR55</f>
        <v>4953448.3715005815</v>
      </c>
      <c r="AU55" s="576">
        <f>+AW54</f>
        <v>25375000</v>
      </c>
      <c r="AV55" s="575">
        <f>+AU$31</f>
        <v>750000</v>
      </c>
      <c r="AW55" s="575">
        <f t="shared" si="1"/>
        <v>24625000</v>
      </c>
      <c r="AX55" s="558">
        <f>+AU$28*AW55+AV55</f>
        <v>750000</v>
      </c>
      <c r="AY55" s="576">
        <f>+BA54</f>
        <v>16583333.333333332</v>
      </c>
      <c r="AZ55" s="575">
        <f>+AY$31</f>
        <v>500000</v>
      </c>
      <c r="BA55" s="575">
        <f t="shared" si="2"/>
        <v>16083333.333333332</v>
      </c>
      <c r="BB55" s="558">
        <f>+AY$28*BA55+AZ55</f>
        <v>500000</v>
      </c>
      <c r="BC55" s="576">
        <f>+BE54</f>
        <v>25750000</v>
      </c>
      <c r="BD55" s="575">
        <f>+BC$31</f>
        <v>750000</v>
      </c>
      <c r="BE55" s="575">
        <f t="shared" si="4"/>
        <v>25000000</v>
      </c>
      <c r="BF55" s="558">
        <f>+BC$28*BE55+BD55</f>
        <v>750000</v>
      </c>
      <c r="BG55" s="576">
        <f>+BI54</f>
        <v>17095238.095238097</v>
      </c>
      <c r="BH55" s="575">
        <f>+BG$31</f>
        <v>571428.57142857148</v>
      </c>
      <c r="BI55" s="575">
        <f t="shared" si="5"/>
        <v>16523809.523809526</v>
      </c>
      <c r="BJ55" s="558">
        <f>+BG$28*BI55+BH55</f>
        <v>571428.57142857148</v>
      </c>
      <c r="BK55" s="576">
        <f>+BM54</f>
        <v>24800000</v>
      </c>
      <c r="BL55" s="575">
        <f>+BK$31</f>
        <v>1200000</v>
      </c>
      <c r="BM55" s="575">
        <f t="shared" si="9"/>
        <v>23600000</v>
      </c>
      <c r="BN55" s="558">
        <f>+BK$28*BM55+BL55</f>
        <v>1200000</v>
      </c>
      <c r="BO55" s="576">
        <f>+BQ54</f>
        <v>17166666.66666666</v>
      </c>
      <c r="BP55" s="575">
        <f>+BO$31</f>
        <v>666666.66666666663</v>
      </c>
      <c r="BQ55" s="575">
        <f t="shared" si="10"/>
        <v>16499999.999999994</v>
      </c>
      <c r="BR55" s="558">
        <f>+BO$28*BQ55+BP55</f>
        <v>666666.66666666663</v>
      </c>
      <c r="BS55" s="492">
        <f>+BU54</f>
        <v>340746.34090909094</v>
      </c>
      <c r="BT55" s="476">
        <f>+BS$31</f>
        <v>8310.886363636364</v>
      </c>
      <c r="BU55" s="476">
        <f t="shared" si="18"/>
        <v>332435.45454545459</v>
      </c>
      <c r="BV55" s="493">
        <f>+BS$28*BU55+BT55</f>
        <v>45726.254018356049</v>
      </c>
      <c r="BW55" s="492">
        <f>+BY54</f>
        <v>23938910.931818184</v>
      </c>
      <c r="BX55" s="476">
        <f>+BW$31</f>
        <v>576841.22727272729</v>
      </c>
      <c r="BY55" s="476">
        <f t="shared" si="20"/>
        <v>23362069.704545457</v>
      </c>
      <c r="BZ55" s="493">
        <f>+BW$28*BY55+BX55</f>
        <v>3206225.1128331022</v>
      </c>
      <c r="CA55" s="492">
        <f>+CC54</f>
        <v>2263543.8400000003</v>
      </c>
      <c r="CB55" s="476">
        <f>+CA$31</f>
        <v>54433.919999999998</v>
      </c>
      <c r="CC55" s="476">
        <f t="shared" si="21"/>
        <v>2209109.9200000004</v>
      </c>
      <c r="CD55" s="493">
        <f>+CA$28*CC55+CB55</f>
        <v>303067.62833746878</v>
      </c>
      <c r="CE55" s="492">
        <f>+CG54</f>
        <v>194907.45</v>
      </c>
      <c r="CF55" s="476">
        <f>+CE$31</f>
        <v>4725.0290909090909</v>
      </c>
      <c r="CG55" s="476">
        <f t="shared" si="22"/>
        <v>190182.42090909093</v>
      </c>
      <c r="CH55" s="493">
        <f>+CE$28*CG55+CF55</f>
        <v>26129.921687301317</v>
      </c>
      <c r="CI55" s="492">
        <f>+CK54</f>
        <v>521295</v>
      </c>
      <c r="CJ55" s="476">
        <f>+CI$31</f>
        <v>12362.727272727272</v>
      </c>
      <c r="CK55" s="476">
        <f t="shared" si="23"/>
        <v>508932.27272727271</v>
      </c>
      <c r="CL55" s="493">
        <f>+CI$28*CK55+CJ55</f>
        <v>69642.682930523515</v>
      </c>
      <c r="CM55" s="492"/>
      <c r="CN55" s="476"/>
      <c r="CO55" s="476"/>
      <c r="CP55" s="493"/>
      <c r="CQ55" s="492"/>
      <c r="CR55" s="476"/>
      <c r="CS55" s="476"/>
      <c r="CT55" s="493"/>
      <c r="CU55" s="492"/>
      <c r="CV55" s="476"/>
      <c r="CW55" s="476"/>
      <c r="CX55" s="493"/>
      <c r="CY55" s="492"/>
      <c r="CZ55" s="476"/>
      <c r="DA55" s="476"/>
      <c r="DB55" s="493"/>
      <c r="DC55" s="492"/>
      <c r="DD55" s="476"/>
      <c r="DE55" s="476"/>
      <c r="DF55" s="493"/>
      <c r="DG55" s="492"/>
      <c r="DH55" s="476"/>
      <c r="DI55" s="476"/>
      <c r="DJ55" s="493"/>
      <c r="DK55" s="492"/>
      <c r="DL55" s="476"/>
      <c r="DM55" s="476"/>
      <c r="DN55" s="493"/>
      <c r="DO55" s="492"/>
      <c r="DP55" s="476"/>
      <c r="DQ55" s="476"/>
      <c r="DR55" s="493"/>
      <c r="DS55" s="492"/>
      <c r="DT55" s="476"/>
      <c r="DU55" s="476"/>
      <c r="DV55" s="493"/>
      <c r="DW55" s="492"/>
      <c r="DX55" s="476"/>
      <c r="DY55" s="476"/>
      <c r="DZ55" s="493"/>
      <c r="EA55" s="492"/>
      <c r="EB55" s="476"/>
      <c r="EC55" s="476"/>
      <c r="ED55" s="493"/>
      <c r="EE55" s="492"/>
      <c r="EF55" s="476"/>
      <c r="EG55" s="476"/>
      <c r="EH55" s="493"/>
      <c r="EI55" s="492"/>
      <c r="EJ55" s="476"/>
      <c r="EK55" s="476"/>
      <c r="EL55" s="493"/>
      <c r="EM55" s="492"/>
      <c r="EN55" s="476"/>
      <c r="EO55" s="476"/>
      <c r="EP55" s="493"/>
      <c r="EQ55" s="492"/>
      <c r="ER55" s="476"/>
      <c r="ES55" s="476"/>
      <c r="ET55" s="493"/>
      <c r="EU55" s="492"/>
      <c r="EV55" s="476"/>
      <c r="EW55" s="476"/>
      <c r="EX55" s="493"/>
      <c r="EY55" s="582">
        <f t="shared" si="3"/>
        <v>22458364.240424</v>
      </c>
      <c r="EZ55" s="557"/>
      <c r="FA55" s="578">
        <f>+EY55</f>
        <v>22458364.240424</v>
      </c>
      <c r="FB55" s="483"/>
      <c r="FD55" s="492">
        <f>+FD30</f>
        <v>12707126</v>
      </c>
      <c r="FE55" s="476">
        <f>+FD$31/12*(12-$FD$32)</f>
        <v>1058927.1666666667</v>
      </c>
      <c r="FF55" s="476">
        <f>+FD55-FE55</f>
        <v>11648198.833333334</v>
      </c>
      <c r="FG55" s="493">
        <f>+(((FD$28*FF55)*(12-FD$32)/12))+FE55</f>
        <v>2341530.7938123555</v>
      </c>
      <c r="FH55" s="492">
        <f>+FH30</f>
        <v>8944044</v>
      </c>
      <c r="FI55" s="476">
        <f>+FH$31/12*(12-$FH$32)</f>
        <v>0</v>
      </c>
      <c r="FJ55" s="476">
        <f>+FH55-FI55</f>
        <v>8944044</v>
      </c>
      <c r="FK55" s="493">
        <f>+(((FH$28*FJ55)*(12-FH$32)/12))+FI55</f>
        <v>0</v>
      </c>
      <c r="FL55" s="492">
        <f>+FL30</f>
        <v>1404585.91</v>
      </c>
      <c r="FM55" s="476">
        <f>+FL$31/12*(12-$FL$32)</f>
        <v>11704.882583333332</v>
      </c>
      <c r="FN55" s="476">
        <f>+FL55-FM55</f>
        <v>1392881.0274166665</v>
      </c>
      <c r="FO55" s="493">
        <f>+(((FL$28*FN55)*(12-FL$32)/12))+FM55</f>
        <v>27042.140158595619</v>
      </c>
      <c r="FP55" s="492">
        <f>+FP30</f>
        <v>169603</v>
      </c>
      <c r="FQ55" s="476">
        <f>+FP$31/12*(12-$FP$32)</f>
        <v>0</v>
      </c>
      <c r="FR55" s="476">
        <f>+FP55-FQ55</f>
        <v>169603</v>
      </c>
      <c r="FS55" s="493">
        <f>+(((FP$28*FR55)*(12-FP$32)/12))+FQ55</f>
        <v>0</v>
      </c>
      <c r="FT55" s="492"/>
      <c r="FU55" s="476"/>
      <c r="FV55" s="476"/>
      <c r="FW55" s="493"/>
      <c r="FX55" s="492"/>
      <c r="FY55" s="476"/>
      <c r="FZ55" s="476"/>
      <c r="GA55" s="493"/>
      <c r="GB55" s="492"/>
      <c r="GC55" s="476"/>
      <c r="GD55" s="476"/>
      <c r="GE55" s="493"/>
      <c r="GF55" s="492"/>
      <c r="GG55" s="476"/>
      <c r="GH55" s="476"/>
      <c r="GI55" s="493"/>
      <c r="GJ55" s="492"/>
      <c r="GK55" s="476"/>
      <c r="GL55" s="476"/>
      <c r="GM55" s="493"/>
      <c r="GN55" s="492"/>
      <c r="GO55" s="476"/>
      <c r="GP55" s="476"/>
      <c r="GQ55" s="493"/>
      <c r="GR55" s="492"/>
      <c r="GS55" s="476"/>
      <c r="GT55" s="476"/>
      <c r="GU55" s="493"/>
      <c r="GV55" s="492"/>
      <c r="GW55" s="476"/>
      <c r="GX55" s="476"/>
      <c r="GY55" s="493"/>
      <c r="GZ55" s="492"/>
      <c r="HA55" s="476"/>
      <c r="HB55" s="476"/>
      <c r="HC55" s="493"/>
      <c r="HD55" s="576"/>
      <c r="HE55" s="580"/>
      <c r="HF55" s="580"/>
      <c r="HG55" s="918"/>
      <c r="HH55" s="576"/>
      <c r="HI55" s="575"/>
      <c r="HJ55" s="575"/>
      <c r="HK55" s="918"/>
      <c r="HL55" s="576"/>
      <c r="HM55" s="575"/>
      <c r="HN55" s="575"/>
      <c r="HO55" s="918"/>
      <c r="HP55" s="576"/>
      <c r="HQ55" s="575"/>
      <c r="HR55" s="575"/>
      <c r="HS55" s="918"/>
      <c r="HT55" s="576"/>
      <c r="HU55" s="575"/>
      <c r="HV55" s="575"/>
      <c r="HW55" s="918"/>
      <c r="HX55" s="580"/>
      <c r="HY55" s="492"/>
      <c r="HZ55" s="476"/>
      <c r="IA55" s="476"/>
      <c r="IB55" s="493"/>
      <c r="IC55" s="492"/>
      <c r="ID55" s="476"/>
      <c r="IE55" s="476"/>
      <c r="IF55" s="493"/>
      <c r="IG55" s="492"/>
      <c r="IH55" s="476"/>
      <c r="II55" s="476"/>
      <c r="IJ55" s="493"/>
    </row>
    <row r="56" spans="1:244">
      <c r="A56" s="554" t="s">
        <v>23</v>
      </c>
      <c r="B56" s="574">
        <f t="shared" si="0"/>
        <v>2014</v>
      </c>
      <c r="C56" s="575">
        <f>+C55</f>
        <v>17274439.383522727</v>
      </c>
      <c r="D56" s="575">
        <f>+D55</f>
        <v>445791.98409090913</v>
      </c>
      <c r="E56" s="575">
        <f t="shared" si="6"/>
        <v>16828647.399431817</v>
      </c>
      <c r="F56" s="558">
        <f>+C$29*E56+D56</f>
        <v>2449537.5566959954</v>
      </c>
      <c r="G56" s="575">
        <f>+G55</f>
        <v>4459868.8574999981</v>
      </c>
      <c r="H56" s="575">
        <f>+H55</f>
        <v>115840.74954545456</v>
      </c>
      <c r="I56" s="575">
        <f t="shared" si="7"/>
        <v>4344028.1079545431</v>
      </c>
      <c r="J56" s="558">
        <f>+G$29*I56+H56</f>
        <v>633073.47074917099</v>
      </c>
      <c r="K56" s="576">
        <f>+K55</f>
        <v>11529595.982897725</v>
      </c>
      <c r="L56" s="575">
        <f>+L55</f>
        <v>305419.76113636367</v>
      </c>
      <c r="M56" s="575">
        <f t="shared" si="8"/>
        <v>11224176.221761361</v>
      </c>
      <c r="N56" s="558">
        <f>+K$29*M56+L56</f>
        <v>1641854.7625169829</v>
      </c>
      <c r="O56" s="576">
        <f>+O55</f>
        <v>4752766.6742424238</v>
      </c>
      <c r="P56" s="575">
        <f>+P55</f>
        <v>119316.31818181818</v>
      </c>
      <c r="Q56" s="575">
        <f t="shared" si="11"/>
        <v>4633450.3560606055</v>
      </c>
      <c r="R56" s="558">
        <f>+O$29*Q56+P56</f>
        <v>671009.8332028389</v>
      </c>
      <c r="S56" s="492">
        <f>+S55</f>
        <v>2225716.0915151504</v>
      </c>
      <c r="T56" s="476">
        <f>+T55</f>
        <v>58315.705454545445</v>
      </c>
      <c r="U56" s="476">
        <f t="shared" si="12"/>
        <v>2167400.3860606048</v>
      </c>
      <c r="V56" s="493">
        <f>+S$29*U56+T56</f>
        <v>316382.72798768862</v>
      </c>
      <c r="W56" s="492">
        <f>+W55</f>
        <v>27616195.609848484</v>
      </c>
      <c r="X56" s="476">
        <f>+X55</f>
        <v>693293.61363636365</v>
      </c>
      <c r="Y56" s="476">
        <f t="shared" si="13"/>
        <v>26922901.996212121</v>
      </c>
      <c r="Z56" s="493">
        <f>+W$29*Y56+X56</f>
        <v>3898937.2043632139</v>
      </c>
      <c r="AA56" s="492">
        <f>+AA55</f>
        <v>17995762.376893934</v>
      </c>
      <c r="AB56" s="476">
        <f>+AB55</f>
        <v>450833.29545454547</v>
      </c>
      <c r="AC56" s="476">
        <f t="shared" si="14"/>
        <v>17544929.081439387</v>
      </c>
      <c r="AD56" s="493">
        <f>+AA$29*AC56+AB56</f>
        <v>2539864.7627007691</v>
      </c>
      <c r="AE56" s="492">
        <f>+AE55</f>
        <v>181616.51136363641</v>
      </c>
      <c r="AF56" s="476">
        <f>+AF55</f>
        <v>4597.886363636364</v>
      </c>
      <c r="AG56" s="476">
        <f t="shared" si="15"/>
        <v>177018.62500000006</v>
      </c>
      <c r="AH56" s="493">
        <f>+AE$29*AG56+AF56</f>
        <v>25675.057790043804</v>
      </c>
      <c r="AI56" s="492">
        <f>+AI55</f>
        <v>12068186.799242424</v>
      </c>
      <c r="AJ56" s="476">
        <f>+AJ55</f>
        <v>295547.43181818182</v>
      </c>
      <c r="AK56" s="476">
        <f t="shared" si="19"/>
        <v>11772639.367424242</v>
      </c>
      <c r="AL56" s="493">
        <f>+AI$29*AK56+AJ56</f>
        <v>1697286.5882966232</v>
      </c>
      <c r="AM56" s="492">
        <f>+AM55</f>
        <v>4490110.0851136353</v>
      </c>
      <c r="AN56" s="476">
        <f>+AN55</f>
        <v>110866.91568181818</v>
      </c>
      <c r="AO56" s="476">
        <f t="shared" si="16"/>
        <v>4379243.1694318168</v>
      </c>
      <c r="AP56" s="493">
        <f>+AM$29*AO56+AN56</f>
        <v>632292.60747011565</v>
      </c>
      <c r="AQ56" s="492">
        <f>+AQ55</f>
        <v>36875988.668863639</v>
      </c>
      <c r="AR56" s="476">
        <f>+AR55</f>
        <v>904932.23727272719</v>
      </c>
      <c r="AS56" s="476">
        <f t="shared" si="17"/>
        <v>35971056.431590915</v>
      </c>
      <c r="AT56" s="493">
        <f>+AQ$29*AS56+AR56</f>
        <v>5187917.2779576685</v>
      </c>
      <c r="AU56" s="576">
        <f>+AU55</f>
        <v>25375000</v>
      </c>
      <c r="AV56" s="575">
        <f>+AV55</f>
        <v>750000</v>
      </c>
      <c r="AW56" s="575">
        <f t="shared" si="1"/>
        <v>24625000</v>
      </c>
      <c r="AX56" s="558">
        <f>+AU$29*AW56+AV56</f>
        <v>750000</v>
      </c>
      <c r="AY56" s="576">
        <f>+AY55</f>
        <v>16583333.333333332</v>
      </c>
      <c r="AZ56" s="575">
        <f>+AZ55</f>
        <v>500000</v>
      </c>
      <c r="BA56" s="575">
        <f t="shared" si="2"/>
        <v>16083333.333333332</v>
      </c>
      <c r="BB56" s="558">
        <f>+AY$29*BA56+AZ56</f>
        <v>500000</v>
      </c>
      <c r="BC56" s="576">
        <f>+BC55</f>
        <v>25750000</v>
      </c>
      <c r="BD56" s="575">
        <f>+BD55</f>
        <v>750000</v>
      </c>
      <c r="BE56" s="575">
        <f t="shared" si="4"/>
        <v>25000000</v>
      </c>
      <c r="BF56" s="558">
        <f>+BC$29*BE56+BD56</f>
        <v>750000</v>
      </c>
      <c r="BG56" s="576">
        <f>+BG55</f>
        <v>17095238.095238097</v>
      </c>
      <c r="BH56" s="575">
        <f>+BH55</f>
        <v>571428.57142857148</v>
      </c>
      <c r="BI56" s="575">
        <f t="shared" si="5"/>
        <v>16523809.523809526</v>
      </c>
      <c r="BJ56" s="558">
        <f>+BG$29*BI56+BH56</f>
        <v>571428.57142857148</v>
      </c>
      <c r="BK56" s="576">
        <f>+BK55</f>
        <v>24800000</v>
      </c>
      <c r="BL56" s="575">
        <f>+BL55</f>
        <v>1200000</v>
      </c>
      <c r="BM56" s="575">
        <f t="shared" si="9"/>
        <v>23600000</v>
      </c>
      <c r="BN56" s="558">
        <f>+BK$29*BM56+BL56</f>
        <v>1200000</v>
      </c>
      <c r="BO56" s="576">
        <f>+BO55</f>
        <v>17166666.66666666</v>
      </c>
      <c r="BP56" s="575">
        <f>+BP55</f>
        <v>666666.66666666663</v>
      </c>
      <c r="BQ56" s="575">
        <f t="shared" si="10"/>
        <v>16499999.999999994</v>
      </c>
      <c r="BR56" s="558">
        <f>+BO$29*BQ56+BP56</f>
        <v>666666.66666666663</v>
      </c>
      <c r="BS56" s="492">
        <f>+BS55</f>
        <v>340746.34090909094</v>
      </c>
      <c r="BT56" s="476">
        <f>+BT55</f>
        <v>8310.886363636364</v>
      </c>
      <c r="BU56" s="476">
        <f t="shared" si="18"/>
        <v>332435.45454545459</v>
      </c>
      <c r="BV56" s="493">
        <f>+BS$29*BU56+BT56</f>
        <v>47893.156668075928</v>
      </c>
      <c r="BW56" s="492">
        <f>+BW55</f>
        <v>23938910.931818184</v>
      </c>
      <c r="BX56" s="476">
        <f>+BX55</f>
        <v>576841.22727272729</v>
      </c>
      <c r="BY56" s="476">
        <f t="shared" si="20"/>
        <v>23362069.704545457</v>
      </c>
      <c r="BZ56" s="493">
        <f>+BW$29*BY56+BX56</f>
        <v>3206225.1128331022</v>
      </c>
      <c r="CA56" s="492">
        <f>+CA55</f>
        <v>2263543.8400000003</v>
      </c>
      <c r="CB56" s="476">
        <f>+CB55</f>
        <v>54433.919999999998</v>
      </c>
      <c r="CC56" s="476">
        <f t="shared" si="21"/>
        <v>2209109.9200000004</v>
      </c>
      <c r="CD56" s="493">
        <f>+CA$29*CC56+CB56</f>
        <v>317467.19394853065</v>
      </c>
      <c r="CE56" s="492">
        <f>+CE55</f>
        <v>194907.45</v>
      </c>
      <c r="CF56" s="476">
        <f>+CF55</f>
        <v>4725.0290909090909</v>
      </c>
      <c r="CG56" s="476">
        <f t="shared" si="22"/>
        <v>190182.42090909093</v>
      </c>
      <c r="CH56" s="493">
        <f>+CE$29*CG56+CF56</f>
        <v>27369.581254784971</v>
      </c>
      <c r="CI56" s="492">
        <f>+CI55</f>
        <v>521295</v>
      </c>
      <c r="CJ56" s="476">
        <f>+CJ55</f>
        <v>12362.727272727272</v>
      </c>
      <c r="CK56" s="476">
        <f t="shared" si="23"/>
        <v>508932.27272727271</v>
      </c>
      <c r="CL56" s="493">
        <f>+CI$29*CK56+CJ56</f>
        <v>69642.682930523515</v>
      </c>
      <c r="CM56" s="492"/>
      <c r="CN56" s="476"/>
      <c r="CO56" s="476"/>
      <c r="CP56" s="493"/>
      <c r="CQ56" s="492"/>
      <c r="CR56" s="476"/>
      <c r="CS56" s="476"/>
      <c r="CT56" s="493"/>
      <c r="CU56" s="492"/>
      <c r="CV56" s="476"/>
      <c r="CW56" s="476"/>
      <c r="CX56" s="493"/>
      <c r="CY56" s="492"/>
      <c r="CZ56" s="476"/>
      <c r="DA56" s="476"/>
      <c r="DB56" s="493"/>
      <c r="DC56" s="492"/>
      <c r="DD56" s="476"/>
      <c r="DE56" s="476"/>
      <c r="DF56" s="493"/>
      <c r="DG56" s="492"/>
      <c r="DH56" s="476"/>
      <c r="DI56" s="476"/>
      <c r="DJ56" s="493"/>
      <c r="DK56" s="492"/>
      <c r="DL56" s="476"/>
      <c r="DM56" s="476"/>
      <c r="DN56" s="493"/>
      <c r="DO56" s="492"/>
      <c r="DP56" s="476"/>
      <c r="DQ56" s="476"/>
      <c r="DR56" s="493"/>
      <c r="DS56" s="492"/>
      <c r="DT56" s="476"/>
      <c r="DU56" s="476"/>
      <c r="DV56" s="493"/>
      <c r="DW56" s="492"/>
      <c r="DX56" s="476"/>
      <c r="DY56" s="476"/>
      <c r="DZ56" s="493"/>
      <c r="EA56" s="492"/>
      <c r="EB56" s="476"/>
      <c r="EC56" s="476"/>
      <c r="ED56" s="493"/>
      <c r="EE56" s="492"/>
      <c r="EF56" s="476"/>
      <c r="EG56" s="476"/>
      <c r="EH56" s="493"/>
      <c r="EI56" s="492"/>
      <c r="EJ56" s="476"/>
      <c r="EK56" s="476"/>
      <c r="EL56" s="493"/>
      <c r="EM56" s="492"/>
      <c r="EN56" s="476"/>
      <c r="EO56" s="476"/>
      <c r="EP56" s="493"/>
      <c r="EQ56" s="492"/>
      <c r="ER56" s="476"/>
      <c r="ES56" s="476"/>
      <c r="ET56" s="493"/>
      <c r="EU56" s="492"/>
      <c r="EV56" s="476"/>
      <c r="EW56" s="476"/>
      <c r="EX56" s="493"/>
      <c r="EY56" s="582">
        <f t="shared" si="3"/>
        <v>23362429.577366121</v>
      </c>
      <c r="EZ56" s="579">
        <f>+EY56</f>
        <v>23362429.577366121</v>
      </c>
      <c r="FA56" s="553"/>
      <c r="FB56" s="600"/>
      <c r="FD56" s="492">
        <f>+FD55</f>
        <v>12707126</v>
      </c>
      <c r="FE56" s="476">
        <f>+FE55</f>
        <v>1058927.1666666667</v>
      </c>
      <c r="FF56" s="476">
        <f t="shared" ref="FF56:FF76" si="24">+FD56-FE56</f>
        <v>11648198.833333334</v>
      </c>
      <c r="FG56" s="493">
        <f>+(((FD$29*FF56)*(12-FD$32)/12))+FE56</f>
        <v>2341530.7938123555</v>
      </c>
      <c r="FH56" s="492">
        <f>+FH55</f>
        <v>8944044</v>
      </c>
      <c r="FI56" s="476">
        <f>+FI55</f>
        <v>0</v>
      </c>
      <c r="FJ56" s="476">
        <f t="shared" ref="FJ56:FJ76" si="25">+FH56-FI56</f>
        <v>8944044</v>
      </c>
      <c r="FK56" s="493">
        <f>+(((FH$29*FJ56)*(12-FH$32)/12))+FI56</f>
        <v>0</v>
      </c>
      <c r="FL56" s="492">
        <f>+FL55</f>
        <v>1404585.91</v>
      </c>
      <c r="FM56" s="476">
        <f>+FM55</f>
        <v>11704.882583333332</v>
      </c>
      <c r="FN56" s="476">
        <f t="shared" ref="FN56:FN76" si="26">+FL56-FM56</f>
        <v>1392881.0274166665</v>
      </c>
      <c r="FO56" s="493">
        <f>+(((FL$29*FN56)*(12-FL$32)/12))+FM56</f>
        <v>27042.140158595619</v>
      </c>
      <c r="FP56" s="492">
        <f>+FP55</f>
        <v>169603</v>
      </c>
      <c r="FQ56" s="476">
        <f>+FQ55</f>
        <v>0</v>
      </c>
      <c r="FR56" s="476">
        <f t="shared" ref="FR56:FR76" si="27">+FP56-FQ56</f>
        <v>169603</v>
      </c>
      <c r="FS56" s="493">
        <f>+(((FP$29*FR56)*(12-FP$32)/12))+FQ56</f>
        <v>0</v>
      </c>
      <c r="FT56" s="492"/>
      <c r="FU56" s="476"/>
      <c r="FV56" s="476"/>
      <c r="FW56" s="493"/>
      <c r="FX56" s="492"/>
      <c r="FY56" s="476"/>
      <c r="FZ56" s="476"/>
      <c r="GA56" s="493"/>
      <c r="GB56" s="492"/>
      <c r="GC56" s="476"/>
      <c r="GD56" s="476"/>
      <c r="GE56" s="493"/>
      <c r="GF56" s="492"/>
      <c r="GG56" s="476"/>
      <c r="GH56" s="476"/>
      <c r="GI56" s="493"/>
      <c r="GJ56" s="492"/>
      <c r="GK56" s="476"/>
      <c r="GL56" s="476"/>
      <c r="GM56" s="493"/>
      <c r="GN56" s="492"/>
      <c r="GO56" s="476"/>
      <c r="GP56" s="476"/>
      <c r="GQ56" s="493"/>
      <c r="GR56" s="492"/>
      <c r="GS56" s="476"/>
      <c r="GT56" s="476"/>
      <c r="GU56" s="493"/>
      <c r="GV56" s="492"/>
      <c r="GW56" s="476"/>
      <c r="GX56" s="476"/>
      <c r="GY56" s="493"/>
      <c r="GZ56" s="492"/>
      <c r="HA56" s="476"/>
      <c r="HB56" s="476"/>
      <c r="HC56" s="493"/>
      <c r="HD56" s="576"/>
      <c r="HE56" s="580"/>
      <c r="HF56" s="580"/>
      <c r="HG56" s="918"/>
      <c r="HH56" s="576"/>
      <c r="HI56" s="575"/>
      <c r="HJ56" s="575"/>
      <c r="HK56" s="918"/>
      <c r="HL56" s="576"/>
      <c r="HM56" s="575"/>
      <c r="HN56" s="575"/>
      <c r="HO56" s="918"/>
      <c r="HP56" s="576"/>
      <c r="HQ56" s="575"/>
      <c r="HR56" s="575"/>
      <c r="HS56" s="918"/>
      <c r="HT56" s="576"/>
      <c r="HU56" s="575"/>
      <c r="HV56" s="575"/>
      <c r="HW56" s="918"/>
      <c r="HX56" s="580"/>
      <c r="HY56" s="492"/>
      <c r="HZ56" s="476"/>
      <c r="IA56" s="476"/>
      <c r="IB56" s="493"/>
      <c r="IC56" s="492"/>
      <c r="ID56" s="476"/>
      <c r="IE56" s="476"/>
      <c r="IF56" s="493"/>
      <c r="IG56" s="492"/>
      <c r="IH56" s="476"/>
      <c r="II56" s="476"/>
      <c r="IJ56" s="493"/>
    </row>
    <row r="57" spans="1:244">
      <c r="A57" s="554" t="s">
        <v>24</v>
      </c>
      <c r="B57" s="574">
        <f t="shared" si="0"/>
        <v>2015</v>
      </c>
      <c r="C57" s="575">
        <f>+E56</f>
        <v>16828647.399431817</v>
      </c>
      <c r="D57" s="575">
        <f>+C$31</f>
        <v>445791.98409090913</v>
      </c>
      <c r="E57" s="575">
        <f t="shared" si="6"/>
        <v>16382855.415340908</v>
      </c>
      <c r="F57" s="558">
        <f>+C$28*E57+D57</f>
        <v>2289670.3978335764</v>
      </c>
      <c r="G57" s="575">
        <f>+I56</f>
        <v>4344028.1079545431</v>
      </c>
      <c r="H57" s="575">
        <f>+G$31</f>
        <v>115840.74954545456</v>
      </c>
      <c r="I57" s="575">
        <f t="shared" si="7"/>
        <v>4228187.3584090881</v>
      </c>
      <c r="J57" s="558">
        <f>+G$28*I57+H57</f>
        <v>591720.14918477065</v>
      </c>
      <c r="K57" s="576">
        <f>+M56</f>
        <v>11224176.221761361</v>
      </c>
      <c r="L57" s="575">
        <f>+K$31</f>
        <v>305419.76113636367</v>
      </c>
      <c r="M57" s="575">
        <f t="shared" si="8"/>
        <v>10918756.460624997</v>
      </c>
      <c r="N57" s="558">
        <f>+K$28*M57+L57</f>
        <v>1534317.8275752161</v>
      </c>
      <c r="O57" s="576">
        <f>+Q56</f>
        <v>4633450.3560606055</v>
      </c>
      <c r="P57" s="575">
        <f>+O$31</f>
        <v>119316.31818181818</v>
      </c>
      <c r="Q57" s="575">
        <f t="shared" si="11"/>
        <v>4514134.0378787871</v>
      </c>
      <c r="R57" s="558">
        <f>+O$28*Q57+P57</f>
        <v>627378.80778857996</v>
      </c>
      <c r="S57" s="492">
        <f>+U56</f>
        <v>2167400.3860606048</v>
      </c>
      <c r="T57" s="476">
        <f>+S$31</f>
        <v>58315.705454545445</v>
      </c>
      <c r="U57" s="476">
        <f t="shared" si="12"/>
        <v>2109084.6806060593</v>
      </c>
      <c r="V57" s="493">
        <f>+S$28*U57+T57</f>
        <v>295691.64613966551</v>
      </c>
      <c r="W57" s="492">
        <f>+Y56</f>
        <v>26922901.996212121</v>
      </c>
      <c r="X57" s="476">
        <f>+W$31</f>
        <v>693293.61363636365</v>
      </c>
      <c r="Y57" s="476">
        <f t="shared" si="13"/>
        <v>26229608.382575758</v>
      </c>
      <c r="Z57" s="493">
        <f>+W$28*Y57+X57</f>
        <v>3645416.883446028</v>
      </c>
      <c r="AA57" s="492">
        <f>+AC56</f>
        <v>17544929.081439387</v>
      </c>
      <c r="AB57" s="476">
        <f>+AA$31</f>
        <v>450833.29545454547</v>
      </c>
      <c r="AC57" s="476">
        <f t="shared" si="14"/>
        <v>17094095.78598484</v>
      </c>
      <c r="AD57" s="493">
        <f>+AA$28*AC57+AB57</f>
        <v>2374761.2935440694</v>
      </c>
      <c r="AE57" s="492">
        <f>+AG56</f>
        <v>177018.62500000006</v>
      </c>
      <c r="AF57" s="476">
        <f>+AE$31</f>
        <v>4597.886363636364</v>
      </c>
      <c r="AG57" s="476">
        <f t="shared" si="15"/>
        <v>172420.73863636371</v>
      </c>
      <c r="AH57" s="493">
        <f>+AE$28*AG57+AF57</f>
        <v>24003.71459034795</v>
      </c>
      <c r="AI57" s="492">
        <f>+AK56</f>
        <v>11772639.367424242</v>
      </c>
      <c r="AJ57" s="476">
        <f>+AI$31</f>
        <v>295547.43181818182</v>
      </c>
      <c r="AK57" s="476">
        <f t="shared" si="19"/>
        <v>11477091.935606061</v>
      </c>
      <c r="AL57" s="493">
        <f>+AI$28*AK57+AJ57</f>
        <v>1587285.74825279</v>
      </c>
      <c r="AM57" s="492">
        <f>+AO56</f>
        <v>4379243.1694318168</v>
      </c>
      <c r="AN57" s="476">
        <f>+AM$31</f>
        <v>110866.91568181818</v>
      </c>
      <c r="AO57" s="476">
        <f t="shared" si="16"/>
        <v>4268376.2537499983</v>
      </c>
      <c r="AP57" s="493">
        <f>+AM$28*AO57+AN57</f>
        <v>591269.54614461306</v>
      </c>
      <c r="AQ57" s="492">
        <f>+AS56</f>
        <v>35971056.431590915</v>
      </c>
      <c r="AR57" s="476">
        <f>+AQ$31</f>
        <v>904932.23727272719</v>
      </c>
      <c r="AS57" s="476">
        <f t="shared" si="17"/>
        <v>35066124.19431819</v>
      </c>
      <c r="AT57" s="493">
        <f>+AQ$28*AS57+AR57</f>
        <v>4851598.9090042831</v>
      </c>
      <c r="AU57" s="576">
        <f>+AW56</f>
        <v>24625000</v>
      </c>
      <c r="AV57" s="575">
        <f>+AU$31</f>
        <v>750000</v>
      </c>
      <c r="AW57" s="575">
        <f t="shared" si="1"/>
        <v>23875000</v>
      </c>
      <c r="AX57" s="558">
        <f>+AU$28*AW57+AV57</f>
        <v>750000</v>
      </c>
      <c r="AY57" s="576">
        <f>+BA56</f>
        <v>16083333.333333332</v>
      </c>
      <c r="AZ57" s="575">
        <f>+AY$31</f>
        <v>500000</v>
      </c>
      <c r="BA57" s="575">
        <f t="shared" si="2"/>
        <v>15583333.333333332</v>
      </c>
      <c r="BB57" s="558">
        <f>+AY$28*BA57+AZ57</f>
        <v>500000</v>
      </c>
      <c r="BC57" s="576">
        <f>+BE56</f>
        <v>25000000</v>
      </c>
      <c r="BD57" s="575">
        <f>+BC$31</f>
        <v>750000</v>
      </c>
      <c r="BE57" s="575">
        <f t="shared" si="4"/>
        <v>24250000</v>
      </c>
      <c r="BF57" s="558">
        <f>+BC$28*BE57+BD57</f>
        <v>750000</v>
      </c>
      <c r="BG57" s="576">
        <f>+BI56</f>
        <v>16523809.523809526</v>
      </c>
      <c r="BH57" s="575">
        <f>+BG$31</f>
        <v>571428.57142857148</v>
      </c>
      <c r="BI57" s="575">
        <f t="shared" si="5"/>
        <v>15952380.952380955</v>
      </c>
      <c r="BJ57" s="558">
        <f>+BG$28*BI57+BH57</f>
        <v>571428.57142857148</v>
      </c>
      <c r="BK57" s="576">
        <f>+BM56</f>
        <v>23600000</v>
      </c>
      <c r="BL57" s="575">
        <f>+BK$31</f>
        <v>1200000</v>
      </c>
      <c r="BM57" s="575">
        <f t="shared" si="9"/>
        <v>22400000</v>
      </c>
      <c r="BN57" s="558">
        <f>+BK$28*BM57+BL57</f>
        <v>1200000</v>
      </c>
      <c r="BO57" s="576">
        <f>+BQ56</f>
        <v>16499999.999999994</v>
      </c>
      <c r="BP57" s="575">
        <f>+BO$31</f>
        <v>666666.66666666663</v>
      </c>
      <c r="BQ57" s="575">
        <f t="shared" si="10"/>
        <v>15833333.333333328</v>
      </c>
      <c r="BR57" s="558">
        <f>+BO$28*BQ57+BP57</f>
        <v>666666.66666666663</v>
      </c>
      <c r="BS57" s="492">
        <f>+BU56</f>
        <v>332435.45454545459</v>
      </c>
      <c r="BT57" s="476">
        <f>+BS$31</f>
        <v>8310.886363636364</v>
      </c>
      <c r="BU57" s="476">
        <f t="shared" si="18"/>
        <v>324124.56818181823</v>
      </c>
      <c r="BV57" s="493">
        <f>+BS$28*BU57+BT57</f>
        <v>44790.869826988055</v>
      </c>
      <c r="BW57" s="492">
        <f>+BY56</f>
        <v>23362069.704545457</v>
      </c>
      <c r="BX57" s="476">
        <f>+BW$31</f>
        <v>576841.22727272729</v>
      </c>
      <c r="BY57" s="476">
        <f t="shared" si="20"/>
        <v>22785228.47727273</v>
      </c>
      <c r="BZ57" s="493">
        <f>+BW$28*BY57+BX57</f>
        <v>3141302.0539303767</v>
      </c>
      <c r="CA57" s="492">
        <f>+CC56</f>
        <v>2209109.9200000004</v>
      </c>
      <c r="CB57" s="476">
        <f>+CA$31</f>
        <v>54433.919999999998</v>
      </c>
      <c r="CC57" s="476">
        <f t="shared" si="21"/>
        <v>2154676.0000000005</v>
      </c>
      <c r="CD57" s="493">
        <f>+CA$28*CC57+CB57</f>
        <v>296941.13039075496</v>
      </c>
      <c r="CE57" s="492">
        <f>+CG56</f>
        <v>190182.42090909093</v>
      </c>
      <c r="CF57" s="476">
        <f>+CE$31</f>
        <v>4725.0290909090909</v>
      </c>
      <c r="CG57" s="476">
        <f t="shared" si="22"/>
        <v>185457.39181818184</v>
      </c>
      <c r="CH57" s="493">
        <f>+CE$28*CG57+CF57</f>
        <v>25598.123113477912</v>
      </c>
      <c r="CI57" s="492">
        <f>+CK56</f>
        <v>508932.27272727271</v>
      </c>
      <c r="CJ57" s="476">
        <f>+CI$31</f>
        <v>12362.727272727272</v>
      </c>
      <c r="CK57" s="476">
        <f t="shared" si="23"/>
        <v>496569.54545454541</v>
      </c>
      <c r="CL57" s="493">
        <f>+CI$28*CK57+CJ57</f>
        <v>68251.26700361348</v>
      </c>
      <c r="CM57" s="492"/>
      <c r="CN57" s="476"/>
      <c r="CO57" s="476"/>
      <c r="CP57" s="493"/>
      <c r="CQ57" s="492"/>
      <c r="CR57" s="476"/>
      <c r="CS57" s="476"/>
      <c r="CT57" s="493"/>
      <c r="CU57" s="492"/>
      <c r="CV57" s="476"/>
      <c r="CW57" s="476"/>
      <c r="CX57" s="493"/>
      <c r="CY57" s="492"/>
      <c r="CZ57" s="476"/>
      <c r="DA57" s="476"/>
      <c r="DB57" s="493"/>
      <c r="DC57" s="492"/>
      <c r="DD57" s="476"/>
      <c r="DE57" s="476"/>
      <c r="DF57" s="493"/>
      <c r="DG57" s="492"/>
      <c r="DH57" s="476"/>
      <c r="DI57" s="476"/>
      <c r="DJ57" s="493"/>
      <c r="DK57" s="492"/>
      <c r="DL57" s="476"/>
      <c r="DM57" s="476"/>
      <c r="DN57" s="493"/>
      <c r="DO57" s="492"/>
      <c r="DP57" s="476"/>
      <c r="DQ57" s="476"/>
      <c r="DR57" s="493"/>
      <c r="DS57" s="492"/>
      <c r="DT57" s="476"/>
      <c r="DU57" s="476"/>
      <c r="DV57" s="493"/>
      <c r="DW57" s="492"/>
      <c r="DX57" s="476"/>
      <c r="DY57" s="476"/>
      <c r="DZ57" s="493"/>
      <c r="EA57" s="492"/>
      <c r="EB57" s="476"/>
      <c r="EC57" s="476"/>
      <c r="ED57" s="493"/>
      <c r="EE57" s="492"/>
      <c r="EF57" s="476"/>
      <c r="EG57" s="476"/>
      <c r="EH57" s="493"/>
      <c r="EI57" s="492"/>
      <c r="EJ57" s="476"/>
      <c r="EK57" s="476"/>
      <c r="EL57" s="493"/>
      <c r="EM57" s="492"/>
      <c r="EN57" s="476"/>
      <c r="EO57" s="476"/>
      <c r="EP57" s="493"/>
      <c r="EQ57" s="492"/>
      <c r="ER57" s="476"/>
      <c r="ES57" s="476"/>
      <c r="ET57" s="493"/>
      <c r="EU57" s="492"/>
      <c r="EV57" s="476"/>
      <c r="EW57" s="476"/>
      <c r="EX57" s="493"/>
      <c r="EY57" s="582">
        <f t="shared" si="3"/>
        <v>21989998.367769152</v>
      </c>
      <c r="EZ57" s="557"/>
      <c r="FA57" s="578">
        <f>+EY57</f>
        <v>21989998.367769152</v>
      </c>
      <c r="FB57" s="483"/>
      <c r="FD57" s="492">
        <f>+FF56</f>
        <v>11648198.833333334</v>
      </c>
      <c r="FE57" s="476">
        <f>+FD$31</f>
        <v>1270712.6000000001</v>
      </c>
      <c r="FF57" s="476">
        <f t="shared" si="24"/>
        <v>10377486.233333334</v>
      </c>
      <c r="FG57" s="493">
        <f>+FD$28*FF57+FE57</f>
        <v>2641932.477748482</v>
      </c>
      <c r="FH57" s="492">
        <f>+FJ56</f>
        <v>8944044</v>
      </c>
      <c r="FI57" s="476">
        <f>+FH$31</f>
        <v>894404.4</v>
      </c>
      <c r="FJ57" s="476">
        <f t="shared" si="25"/>
        <v>8049639.5999999996</v>
      </c>
      <c r="FK57" s="493">
        <f>+FH$28*FJ57+FI57</f>
        <v>1958036.3413054906</v>
      </c>
      <c r="FL57" s="492">
        <f>+FN56</f>
        <v>1392881.0274166665</v>
      </c>
      <c r="FM57" s="476">
        <f>+FL$31</f>
        <v>140458.59099999999</v>
      </c>
      <c r="FN57" s="476">
        <f t="shared" si="26"/>
        <v>1252422.4364166665</v>
      </c>
      <c r="FO57" s="493">
        <f>+FL$28*FN57+FM57</f>
        <v>305946.31139190565</v>
      </c>
      <c r="FP57" s="492">
        <f>+FR56</f>
        <v>169603</v>
      </c>
      <c r="FQ57" s="476">
        <f>+FP$31</f>
        <v>16960.3</v>
      </c>
      <c r="FR57" s="476">
        <f t="shared" si="27"/>
        <v>152642.70000000001</v>
      </c>
      <c r="FS57" s="493">
        <f>+FP$28*FR57+FQ57</f>
        <v>37129.60687519372</v>
      </c>
      <c r="FT57" s="492">
        <f>+FT30</f>
        <v>12537.86</v>
      </c>
      <c r="FU57" s="476">
        <f>+FT$31/12*(12-$FT$32)</f>
        <v>1044.8216666666667</v>
      </c>
      <c r="FV57" s="476">
        <f>+FT57-FU57</f>
        <v>11493.038333333334</v>
      </c>
      <c r="FW57" s="493">
        <f>+(((FT$28*FV57)*(12-FT$32)/12))+FU57</f>
        <v>2310.3402987039067</v>
      </c>
      <c r="FX57" s="492">
        <f>+FX30</f>
        <v>40332599.799999997</v>
      </c>
      <c r="FY57" s="476">
        <f>+FX$31/12*(12-$FX$32)</f>
        <v>3024944.9849999994</v>
      </c>
      <c r="FZ57" s="476">
        <f t="shared" ref="FZ57:FZ74" si="28">+FX57-FY57</f>
        <v>37307654.814999998</v>
      </c>
      <c r="GA57" s="493">
        <f>+(((FX$28*FZ57)*(12-FX$32)/12))+FY57</f>
        <v>6722155.2287139148</v>
      </c>
      <c r="GB57" s="492">
        <f>+GB30</f>
        <v>530533.42000000004</v>
      </c>
      <c r="GC57" s="476">
        <f>+GB$31/12*(12-$GB$32)</f>
        <v>22105.559166666666</v>
      </c>
      <c r="GD57" s="476">
        <f t="shared" ref="GD57:GD74" si="29">+GB57-GC57</f>
        <v>508427.8608333334</v>
      </c>
      <c r="GE57" s="493">
        <f>+(((GB$28*GD57)*(12-GB$32)/12))+GC57</f>
        <v>50097.501430762786</v>
      </c>
      <c r="GF57" s="492">
        <f>+GF30</f>
        <v>-539066.93999999971</v>
      </c>
      <c r="GG57" s="476">
        <f>+GF$31/12*(12-$GF$32)</f>
        <v>-22461.122499999987</v>
      </c>
      <c r="GH57" s="476">
        <f t="shared" ref="GH57:GH76" si="30">+GF57-GG57</f>
        <v>-516605.81749999971</v>
      </c>
      <c r="GI57" s="493">
        <f>+(((GF$28*GH57)*(12-GF$32)/12))+GG57</f>
        <v>-50903.309348404291</v>
      </c>
      <c r="GJ57" s="492">
        <f>+GJ30</f>
        <v>33275227.509999998</v>
      </c>
      <c r="GK57" s="476">
        <f>+GJ$31/12*(12-$GJ$32)</f>
        <v>554587.12516666658</v>
      </c>
      <c r="GL57" s="476">
        <f t="shared" ref="GL57:GL76" si="31">+GJ57-GK57</f>
        <v>32720640.384833332</v>
      </c>
      <c r="GM57" s="493">
        <f>+(((GJ$28*GL57)*(12-GJ$32)/12))+GK57</f>
        <v>1275172.5588565408</v>
      </c>
      <c r="GN57" s="492">
        <f>+GN30</f>
        <v>497855.79</v>
      </c>
      <c r="GO57" s="476">
        <f>+GN$31/12*(12-$GN$32)</f>
        <v>4148.7982499999998</v>
      </c>
      <c r="GP57" s="476">
        <f>+GN57-GO57</f>
        <v>493706.99174999999</v>
      </c>
      <c r="GQ57" s="493">
        <f>+(((GN$28*GP57)*(12-GN$32)/12))+GO57</f>
        <v>9585.0926284376219</v>
      </c>
      <c r="GR57" s="492"/>
      <c r="GS57" s="476"/>
      <c r="GT57" s="476"/>
      <c r="GU57" s="493"/>
      <c r="GV57" s="492"/>
      <c r="GW57" s="476"/>
      <c r="GX57" s="476"/>
      <c r="GY57" s="493"/>
      <c r="GZ57" s="492"/>
      <c r="HA57" s="476"/>
      <c r="HB57" s="476"/>
      <c r="HC57" s="493"/>
      <c r="HD57" s="576"/>
      <c r="HE57" s="580"/>
      <c r="HF57" s="580"/>
      <c r="HG57" s="918"/>
      <c r="HH57" s="576"/>
      <c r="HI57" s="575"/>
      <c r="HJ57" s="575"/>
      <c r="HK57" s="918"/>
      <c r="HL57" s="576"/>
      <c r="HM57" s="575"/>
      <c r="HN57" s="575"/>
      <c r="HO57" s="918"/>
      <c r="HP57" s="576"/>
      <c r="HQ57" s="575"/>
      <c r="HR57" s="575"/>
      <c r="HS57" s="918"/>
      <c r="HT57" s="576"/>
      <c r="HU57" s="575"/>
      <c r="HV57" s="575"/>
      <c r="HW57" s="918"/>
      <c r="HX57" s="580"/>
      <c r="HY57" s="492"/>
      <c r="HZ57" s="476"/>
      <c r="IA57" s="476"/>
      <c r="IB57" s="493"/>
      <c r="IC57" s="492"/>
      <c r="ID57" s="476"/>
      <c r="IE57" s="476"/>
      <c r="IF57" s="493"/>
      <c r="IG57" s="492"/>
      <c r="IH57" s="476"/>
      <c r="II57" s="476"/>
      <c r="IJ57" s="493"/>
    </row>
    <row r="58" spans="1:244">
      <c r="A58" s="554" t="s">
        <v>23</v>
      </c>
      <c r="B58" s="574">
        <f t="shared" si="0"/>
        <v>2015</v>
      </c>
      <c r="C58" s="575">
        <f>+C57</f>
        <v>16828647.399431817</v>
      </c>
      <c r="D58" s="575">
        <f>+D57</f>
        <v>445791.98409090913</v>
      </c>
      <c r="E58" s="575">
        <f t="shared" si="6"/>
        <v>16382855.415340908</v>
      </c>
      <c r="F58" s="558">
        <f>+C$29*E58+D58</f>
        <v>2396458.2037793044</v>
      </c>
      <c r="G58" s="575">
        <f>+G57</f>
        <v>4344028.1079545431</v>
      </c>
      <c r="H58" s="575">
        <f>+H57</f>
        <v>115840.74954545456</v>
      </c>
      <c r="I58" s="575">
        <f t="shared" si="7"/>
        <v>4228187.3584090881</v>
      </c>
      <c r="J58" s="558">
        <f>+G$29*I58+H58</f>
        <v>619280.59818373853</v>
      </c>
      <c r="K58" s="576">
        <f>+K57</f>
        <v>11224176.221761361</v>
      </c>
      <c r="L58" s="575">
        <f>+L57</f>
        <v>305419.76113636367</v>
      </c>
      <c r="M58" s="575">
        <f t="shared" si="8"/>
        <v>10918756.460624997</v>
      </c>
      <c r="N58" s="558">
        <f>+K$29*M58+L58</f>
        <v>1605489.1842481224</v>
      </c>
      <c r="O58" s="576">
        <f>+O57</f>
        <v>4633450.3560606055</v>
      </c>
      <c r="P58" s="575">
        <f>+P57</f>
        <v>119316.31818181818</v>
      </c>
      <c r="Q58" s="575">
        <f t="shared" si="11"/>
        <v>4514134.0378787871</v>
      </c>
      <c r="R58" s="558">
        <f>+O$29*Q58+P58</f>
        <v>656803.13324521598</v>
      </c>
      <c r="S58" s="492">
        <f>+S57</f>
        <v>2167400.3860606048</v>
      </c>
      <c r="T58" s="476">
        <f>+T57</f>
        <v>58315.705454545445</v>
      </c>
      <c r="U58" s="476">
        <f t="shared" si="12"/>
        <v>2109084.6806060593</v>
      </c>
      <c r="V58" s="493">
        <f>+S$29*U58+T58</f>
        <v>309439.22065495828</v>
      </c>
      <c r="W58" s="492">
        <f>+W57</f>
        <v>26922901.996212121</v>
      </c>
      <c r="X58" s="476">
        <f>+X57</f>
        <v>693293.61363636365</v>
      </c>
      <c r="Y58" s="476">
        <f t="shared" si="13"/>
        <v>26229608.382575758</v>
      </c>
      <c r="Z58" s="493">
        <f>+W$29*Y58+X58</f>
        <v>3816388.4423702476</v>
      </c>
      <c r="AA58" s="492">
        <f>+AA57</f>
        <v>17544929.081439387</v>
      </c>
      <c r="AB58" s="476">
        <f>+AB57</f>
        <v>450833.29545454547</v>
      </c>
      <c r="AC58" s="476">
        <f t="shared" si="14"/>
        <v>17094095.78598484</v>
      </c>
      <c r="AD58" s="493">
        <f>+AA$29*AC58+AB58</f>
        <v>2486185.153264035</v>
      </c>
      <c r="AE58" s="492">
        <f>+AE57</f>
        <v>177018.62500000006</v>
      </c>
      <c r="AF58" s="476">
        <f>+AF57</f>
        <v>4597.886363636364</v>
      </c>
      <c r="AG58" s="476">
        <f t="shared" si="15"/>
        <v>172420.73863636371</v>
      </c>
      <c r="AH58" s="493">
        <f>+AE$29*AG58+AF58</f>
        <v>25127.598791955301</v>
      </c>
      <c r="AI58" s="492">
        <f>+AI57</f>
        <v>11772639.367424242</v>
      </c>
      <c r="AJ58" s="476">
        <f>+AJ57</f>
        <v>295547.43181818182</v>
      </c>
      <c r="AK58" s="476">
        <f t="shared" si="19"/>
        <v>11477091.935606061</v>
      </c>
      <c r="AL58" s="493">
        <f>+AI$29*AK58+AJ58</f>
        <v>1662096.4839498841</v>
      </c>
      <c r="AM58" s="492">
        <f>+AM57</f>
        <v>4379243.1694318168</v>
      </c>
      <c r="AN58" s="476">
        <f>+AN57</f>
        <v>110866.91568181818</v>
      </c>
      <c r="AO58" s="476">
        <f t="shared" si="16"/>
        <v>4268376.2537499983</v>
      </c>
      <c r="AP58" s="493">
        <f>+AM$29*AO58+AN58</f>
        <v>619091.95704509539</v>
      </c>
      <c r="AQ58" s="492">
        <f>+AQ57</f>
        <v>35971056.431590915</v>
      </c>
      <c r="AR58" s="476">
        <f>+AR57</f>
        <v>904932.23727272719</v>
      </c>
      <c r="AS58" s="476">
        <f t="shared" si="17"/>
        <v>35066124.19431819</v>
      </c>
      <c r="AT58" s="493">
        <f>+AQ$29*AS58+AR58</f>
        <v>5080169.2266196823</v>
      </c>
      <c r="AU58" s="576">
        <f>+AU57</f>
        <v>24625000</v>
      </c>
      <c r="AV58" s="575">
        <f>+AV57</f>
        <v>750000</v>
      </c>
      <c r="AW58" s="575">
        <f t="shared" si="1"/>
        <v>23875000</v>
      </c>
      <c r="AX58" s="558">
        <f>+AU$29*AW58+AV58</f>
        <v>750000</v>
      </c>
      <c r="AY58" s="576">
        <f>+AY57</f>
        <v>16083333.333333332</v>
      </c>
      <c r="AZ58" s="575">
        <f>+AZ57</f>
        <v>500000</v>
      </c>
      <c r="BA58" s="575">
        <f t="shared" si="2"/>
        <v>15583333.333333332</v>
      </c>
      <c r="BB58" s="558">
        <f>+AY$29*BA58+AZ58</f>
        <v>500000</v>
      </c>
      <c r="BC58" s="576">
        <f>+BC57</f>
        <v>25000000</v>
      </c>
      <c r="BD58" s="575">
        <f>+BD57</f>
        <v>750000</v>
      </c>
      <c r="BE58" s="575">
        <f t="shared" si="4"/>
        <v>24250000</v>
      </c>
      <c r="BF58" s="558">
        <f>+BC$29*BE58+BD58</f>
        <v>750000</v>
      </c>
      <c r="BG58" s="576">
        <f>+BG57</f>
        <v>16523809.523809526</v>
      </c>
      <c r="BH58" s="575">
        <f>+BH57</f>
        <v>571428.57142857148</v>
      </c>
      <c r="BI58" s="575">
        <f t="shared" si="5"/>
        <v>15952380.952380955</v>
      </c>
      <c r="BJ58" s="558">
        <f>+BG$29*BI58+BH58</f>
        <v>571428.57142857148</v>
      </c>
      <c r="BK58" s="576">
        <f>+BK57</f>
        <v>23600000</v>
      </c>
      <c r="BL58" s="575">
        <f>+BL57</f>
        <v>1200000</v>
      </c>
      <c r="BM58" s="575">
        <f t="shared" si="9"/>
        <v>22400000</v>
      </c>
      <c r="BN58" s="558">
        <f>+BK$29*BM58+BL58</f>
        <v>1200000</v>
      </c>
      <c r="BO58" s="576">
        <f>+BO57</f>
        <v>16499999.999999994</v>
      </c>
      <c r="BP58" s="575">
        <f>+BP57</f>
        <v>666666.66666666663</v>
      </c>
      <c r="BQ58" s="575">
        <f t="shared" si="10"/>
        <v>15833333.333333328</v>
      </c>
      <c r="BR58" s="558">
        <f>+BO$29*BQ58+BP58</f>
        <v>666666.66666666663</v>
      </c>
      <c r="BS58" s="492">
        <f>+BS57</f>
        <v>332435.45454545459</v>
      </c>
      <c r="BT58" s="476">
        <f>+BT57</f>
        <v>8310.886363636364</v>
      </c>
      <c r="BU58" s="476">
        <f t="shared" si="18"/>
        <v>324124.56818181823</v>
      </c>
      <c r="BV58" s="493">
        <f>+BS$29*BU58+BT58</f>
        <v>46903.599910464938</v>
      </c>
      <c r="BW58" s="492">
        <f>+BW57</f>
        <v>23362069.704545457</v>
      </c>
      <c r="BX58" s="476">
        <f>+BX57</f>
        <v>576841.22727272729</v>
      </c>
      <c r="BY58" s="476">
        <f t="shared" si="20"/>
        <v>22785228.47727273</v>
      </c>
      <c r="BZ58" s="493">
        <f>+BW$29*BY58+BX58</f>
        <v>3141302.0539303767</v>
      </c>
      <c r="CA58" s="492">
        <f>+CA57</f>
        <v>2209109.9200000004</v>
      </c>
      <c r="CB58" s="476">
        <f>+CB57</f>
        <v>54433.919999999998</v>
      </c>
      <c r="CC58" s="476">
        <f t="shared" si="21"/>
        <v>2154676.0000000005</v>
      </c>
      <c r="CD58" s="493">
        <f>+CA$29*CC58+CB58</f>
        <v>310985.8812434334</v>
      </c>
      <c r="CE58" s="492">
        <f>+CE57</f>
        <v>190182.42090909093</v>
      </c>
      <c r="CF58" s="476">
        <f>+CF57</f>
        <v>4725.0290909090909</v>
      </c>
      <c r="CG58" s="476">
        <f t="shared" si="22"/>
        <v>185457.39181818184</v>
      </c>
      <c r="CH58" s="493">
        <f>+CE$29*CG58+CF58</f>
        <v>26806.983685496129</v>
      </c>
      <c r="CI58" s="492">
        <f>+CI57</f>
        <v>508932.27272727271</v>
      </c>
      <c r="CJ58" s="476">
        <f>+CJ57</f>
        <v>12362.727272727272</v>
      </c>
      <c r="CK58" s="476">
        <f t="shared" si="23"/>
        <v>496569.54545454541</v>
      </c>
      <c r="CL58" s="493">
        <f>+CI$29*CK58+CJ58</f>
        <v>68251.26700361348</v>
      </c>
      <c r="CM58" s="492"/>
      <c r="CN58" s="476"/>
      <c r="CO58" s="476"/>
      <c r="CP58" s="493"/>
      <c r="CQ58" s="492"/>
      <c r="CR58" s="476"/>
      <c r="CS58" s="476"/>
      <c r="CT58" s="493"/>
      <c r="CU58" s="492"/>
      <c r="CV58" s="476"/>
      <c r="CW58" s="476"/>
      <c r="CX58" s="493"/>
      <c r="CY58" s="492"/>
      <c r="CZ58" s="476"/>
      <c r="DA58" s="476"/>
      <c r="DB58" s="493"/>
      <c r="DC58" s="492"/>
      <c r="DD58" s="476"/>
      <c r="DE58" s="476"/>
      <c r="DF58" s="493"/>
      <c r="DG58" s="492"/>
      <c r="DH58" s="476"/>
      <c r="DI58" s="476"/>
      <c r="DJ58" s="493"/>
      <c r="DK58" s="492"/>
      <c r="DL58" s="476"/>
      <c r="DM58" s="476"/>
      <c r="DN58" s="493"/>
      <c r="DO58" s="492"/>
      <c r="DP58" s="476"/>
      <c r="DQ58" s="476"/>
      <c r="DR58" s="493"/>
      <c r="DS58" s="492"/>
      <c r="DT58" s="476"/>
      <c r="DU58" s="476"/>
      <c r="DV58" s="493"/>
      <c r="DW58" s="492"/>
      <c r="DX58" s="476"/>
      <c r="DY58" s="476"/>
      <c r="DZ58" s="493"/>
      <c r="EA58" s="492"/>
      <c r="EB58" s="476"/>
      <c r="EC58" s="476"/>
      <c r="ED58" s="493"/>
      <c r="EE58" s="492"/>
      <c r="EF58" s="476"/>
      <c r="EG58" s="476"/>
      <c r="EH58" s="493"/>
      <c r="EI58" s="492"/>
      <c r="EJ58" s="476"/>
      <c r="EK58" s="476"/>
      <c r="EL58" s="493"/>
      <c r="EM58" s="492"/>
      <c r="EN58" s="476"/>
      <c r="EO58" s="476"/>
      <c r="EP58" s="493"/>
      <c r="EQ58" s="492"/>
      <c r="ER58" s="476"/>
      <c r="ES58" s="476"/>
      <c r="ET58" s="493"/>
      <c r="EU58" s="492"/>
      <c r="EV58" s="476"/>
      <c r="EW58" s="476"/>
      <c r="EX58" s="493"/>
      <c r="EY58" s="582">
        <f t="shared" si="3"/>
        <v>22870778.987925623</v>
      </c>
      <c r="EZ58" s="579">
        <f>+EY58</f>
        <v>22870778.987925623</v>
      </c>
      <c r="FA58" s="553"/>
      <c r="FB58" s="600"/>
      <c r="FD58" s="492">
        <f>+FD57</f>
        <v>11648198.833333334</v>
      </c>
      <c r="FE58" s="476">
        <f>+FE57</f>
        <v>1270712.6000000001</v>
      </c>
      <c r="FF58" s="476">
        <f t="shared" si="24"/>
        <v>10377486.233333334</v>
      </c>
      <c r="FG58" s="493">
        <f>+FD$29*FF58+FE58</f>
        <v>2641932.477748482</v>
      </c>
      <c r="FH58" s="492">
        <f>+FH57</f>
        <v>8944044</v>
      </c>
      <c r="FI58" s="476">
        <f>+FI57</f>
        <v>894404.4</v>
      </c>
      <c r="FJ58" s="476">
        <f t="shared" si="25"/>
        <v>8049639.5999999996</v>
      </c>
      <c r="FK58" s="493">
        <f>+FH$29*FJ58+FI58</f>
        <v>1958036.3413054906</v>
      </c>
      <c r="FL58" s="492">
        <f>+FL57</f>
        <v>1392881.0274166665</v>
      </c>
      <c r="FM58" s="476">
        <f>+FM57</f>
        <v>140458.59099999999</v>
      </c>
      <c r="FN58" s="476">
        <f t="shared" si="26"/>
        <v>1252422.4364166665</v>
      </c>
      <c r="FO58" s="493">
        <f>+FL$29*FN58+FM58</f>
        <v>305946.31139190565</v>
      </c>
      <c r="FP58" s="492">
        <f>+FP57</f>
        <v>169603</v>
      </c>
      <c r="FQ58" s="476">
        <f>+FQ57</f>
        <v>16960.3</v>
      </c>
      <c r="FR58" s="476">
        <f t="shared" si="27"/>
        <v>152642.70000000001</v>
      </c>
      <c r="FS58" s="493">
        <f>+FP$29*FR58+FQ58</f>
        <v>37129.60687519372</v>
      </c>
      <c r="FT58" s="492">
        <f>+FT57</f>
        <v>12537.86</v>
      </c>
      <c r="FU58" s="476">
        <f>+FU57</f>
        <v>1044.8216666666667</v>
      </c>
      <c r="FV58" s="476">
        <f t="shared" ref="FV58:FV74" si="32">+FT58-FU58</f>
        <v>11493.038333333334</v>
      </c>
      <c r="FW58" s="493">
        <f>+(((FT$29*FV58)*(12-FT$32)/12))+FU58</f>
        <v>2310.3402987039067</v>
      </c>
      <c r="FX58" s="492">
        <f>+FX57</f>
        <v>40332599.799999997</v>
      </c>
      <c r="FY58" s="476">
        <f>+FY57</f>
        <v>3024944.9849999994</v>
      </c>
      <c r="FZ58" s="476">
        <f t="shared" si="28"/>
        <v>37307654.814999998</v>
      </c>
      <c r="GA58" s="493">
        <f>+(((FX$29*FZ58)*(12-FX$32)/12))+FY58</f>
        <v>6722155.2287139148</v>
      </c>
      <c r="GB58" s="492">
        <f>+GB57</f>
        <v>530533.42000000004</v>
      </c>
      <c r="GC58" s="476">
        <f>+GC57</f>
        <v>22105.559166666666</v>
      </c>
      <c r="GD58" s="476">
        <f t="shared" si="29"/>
        <v>508427.8608333334</v>
      </c>
      <c r="GE58" s="493">
        <f>+(((GB$29*GD58)*(12-GB$32)/12))+GC58</f>
        <v>50097.501430762786</v>
      </c>
      <c r="GF58" s="492">
        <f>+GF57</f>
        <v>-539066.93999999971</v>
      </c>
      <c r="GG58" s="476">
        <f>+GG57</f>
        <v>-22461.122499999987</v>
      </c>
      <c r="GH58" s="476">
        <f t="shared" si="30"/>
        <v>-516605.81749999971</v>
      </c>
      <c r="GI58" s="493">
        <f>+(((GF$29*GH58)*(12-GF$32)/12))+GG58</f>
        <v>-50903.309348404291</v>
      </c>
      <c r="GJ58" s="492">
        <f>+GJ57</f>
        <v>33275227.509999998</v>
      </c>
      <c r="GK58" s="476">
        <f>+GK57</f>
        <v>554587.12516666658</v>
      </c>
      <c r="GL58" s="476">
        <f t="shared" si="31"/>
        <v>32720640.384833332</v>
      </c>
      <c r="GM58" s="493">
        <f>+(((GJ$29*GL58)*(12-GJ$32)/12))+GK58</f>
        <v>1275172.5588565408</v>
      </c>
      <c r="GN58" s="492">
        <f>+GN57</f>
        <v>497855.79</v>
      </c>
      <c r="GO58" s="476">
        <f>+GO57</f>
        <v>4148.7982499999998</v>
      </c>
      <c r="GP58" s="476">
        <f>+GN58-GO58</f>
        <v>493706.99174999999</v>
      </c>
      <c r="GQ58" s="493">
        <f>+(((GN$29*GP58)*(12-GN$32)/12))+GO58</f>
        <v>9585.0926284376219</v>
      </c>
      <c r="GR58" s="492"/>
      <c r="GS58" s="476"/>
      <c r="GT58" s="476"/>
      <c r="GU58" s="493"/>
      <c r="GV58" s="492"/>
      <c r="GW58" s="476"/>
      <c r="GX58" s="476"/>
      <c r="GY58" s="493"/>
      <c r="GZ58" s="492"/>
      <c r="HA58" s="476"/>
      <c r="HB58" s="476"/>
      <c r="HC58" s="493"/>
      <c r="HD58" s="576"/>
      <c r="HE58" s="580"/>
      <c r="HF58" s="580"/>
      <c r="HG58" s="918"/>
      <c r="HH58" s="576"/>
      <c r="HI58" s="575"/>
      <c r="HJ58" s="575"/>
      <c r="HK58" s="918"/>
      <c r="HL58" s="576"/>
      <c r="HM58" s="575"/>
      <c r="HN58" s="575"/>
      <c r="HO58" s="918"/>
      <c r="HP58" s="576"/>
      <c r="HQ58" s="575"/>
      <c r="HR58" s="575"/>
      <c r="HS58" s="918"/>
      <c r="HT58" s="576"/>
      <c r="HU58" s="575"/>
      <c r="HV58" s="575"/>
      <c r="HW58" s="918"/>
      <c r="HX58" s="580"/>
      <c r="HY58" s="492"/>
      <c r="HZ58" s="476"/>
      <c r="IA58" s="476"/>
      <c r="IB58" s="493"/>
      <c r="IC58" s="492"/>
      <c r="ID58" s="476"/>
      <c r="IE58" s="476"/>
      <c r="IF58" s="493"/>
      <c r="IG58" s="492"/>
      <c r="IH58" s="476"/>
      <c r="II58" s="476"/>
      <c r="IJ58" s="493"/>
    </row>
    <row r="59" spans="1:244">
      <c r="A59" s="554" t="s">
        <v>24</v>
      </c>
      <c r="B59" s="574">
        <f t="shared" si="0"/>
        <v>2016</v>
      </c>
      <c r="C59" s="575">
        <f>+E58</f>
        <v>16382855.415340908</v>
      </c>
      <c r="D59" s="575">
        <f>+C$31</f>
        <v>445791.98409090913</v>
      </c>
      <c r="E59" s="575">
        <f t="shared" si="6"/>
        <v>15937063.431249999</v>
      </c>
      <c r="F59" s="558">
        <f>+C$28*E59+D59</f>
        <v>2239496.8355548647</v>
      </c>
      <c r="G59" s="575">
        <f>+I58</f>
        <v>4228187.3584090881</v>
      </c>
      <c r="H59" s="575">
        <f>+G$31</f>
        <v>115840.74954545456</v>
      </c>
      <c r="I59" s="575">
        <f t="shared" si="7"/>
        <v>4112346.6088636336</v>
      </c>
      <c r="J59" s="558">
        <f>+G$28*I59+H59</f>
        <v>578682.35741383047</v>
      </c>
      <c r="K59" s="576">
        <f>+M58</f>
        <v>10918756.460624997</v>
      </c>
      <c r="L59" s="575">
        <f>+K$31</f>
        <v>305419.76113636367</v>
      </c>
      <c r="M59" s="575">
        <f t="shared" si="8"/>
        <v>10613336.699488632</v>
      </c>
      <c r="N59" s="558">
        <f>+K$28*M59+L59</f>
        <v>1499943.0564860173</v>
      </c>
      <c r="O59" s="576">
        <f>+Q58</f>
        <v>4514134.0378787871</v>
      </c>
      <c r="P59" s="575">
        <f>+O$31</f>
        <v>119316.31818181818</v>
      </c>
      <c r="Q59" s="575">
        <f t="shared" si="11"/>
        <v>4394817.7196969688</v>
      </c>
      <c r="R59" s="558">
        <f>+O$28*Q59+P59</f>
        <v>613949.84330558183</v>
      </c>
      <c r="S59" s="492">
        <f>+U58</f>
        <v>2109084.6806060593</v>
      </c>
      <c r="T59" s="476">
        <f>+S$31</f>
        <v>58315.705454545445</v>
      </c>
      <c r="U59" s="476">
        <f t="shared" si="12"/>
        <v>2050768.9751515137</v>
      </c>
      <c r="V59" s="493">
        <f>+S$28*U59+T59</f>
        <v>289128.25607463915</v>
      </c>
      <c r="W59" s="492">
        <f>+Y58</f>
        <v>26229608.382575758</v>
      </c>
      <c r="X59" s="476">
        <f>+W$31</f>
        <v>693293.61363636365</v>
      </c>
      <c r="Y59" s="476">
        <f t="shared" si="13"/>
        <v>25536314.768939395</v>
      </c>
      <c r="Z59" s="493">
        <f>+W$28*Y59+X59</f>
        <v>3567387.1934951115</v>
      </c>
      <c r="AA59" s="492">
        <f>+AC58</f>
        <v>17094095.78598484</v>
      </c>
      <c r="AB59" s="476">
        <f>+AA$31</f>
        <v>450833.29545454547</v>
      </c>
      <c r="AC59" s="476">
        <f t="shared" si="14"/>
        <v>16643262.490530295</v>
      </c>
      <c r="AD59" s="493">
        <f>+AA$28*AC59+AB59</f>
        <v>2324020.3353526974</v>
      </c>
      <c r="AE59" s="492">
        <f>+AG58</f>
        <v>172420.73863636371</v>
      </c>
      <c r="AF59" s="476">
        <f>+AE$31</f>
        <v>4597.886363636364</v>
      </c>
      <c r="AG59" s="476">
        <f t="shared" si="15"/>
        <v>167822.85227272735</v>
      </c>
      <c r="AH59" s="493">
        <f>+AE$28*AG59+AF59</f>
        <v>23486.225837635644</v>
      </c>
      <c r="AI59" s="492">
        <f>+AK58</f>
        <v>11477091.935606061</v>
      </c>
      <c r="AJ59" s="476">
        <f>+AI$31</f>
        <v>295547.43181818182</v>
      </c>
      <c r="AK59" s="476">
        <f t="shared" si="19"/>
        <v>11181544.503787879</v>
      </c>
      <c r="AL59" s="493">
        <f>+AI$28*AK59+AJ59</f>
        <v>1554022.1006192807</v>
      </c>
      <c r="AM59" s="492">
        <f>+AO58</f>
        <v>4268376.2537499983</v>
      </c>
      <c r="AN59" s="476">
        <f>+AM$31</f>
        <v>110866.91568181818</v>
      </c>
      <c r="AO59" s="476">
        <f t="shared" si="16"/>
        <v>4157509.3380681803</v>
      </c>
      <c r="AP59" s="493">
        <f>+AM$28*AO59+AN59</f>
        <v>578791.55574298208</v>
      </c>
      <c r="AQ59" s="492">
        <f>+AS58</f>
        <v>35066124.19431819</v>
      </c>
      <c r="AR59" s="476">
        <f>+AQ$31</f>
        <v>904932.23727272719</v>
      </c>
      <c r="AS59" s="476">
        <f t="shared" si="17"/>
        <v>34161191.957045466</v>
      </c>
      <c r="AT59" s="493">
        <f>+AQ$28*AS59+AR59</f>
        <v>4749749.4465079857</v>
      </c>
      <c r="AU59" s="576">
        <f>+AW58</f>
        <v>23875000</v>
      </c>
      <c r="AV59" s="575">
        <f>+AU$31</f>
        <v>750000</v>
      </c>
      <c r="AW59" s="575">
        <f t="shared" si="1"/>
        <v>23125000</v>
      </c>
      <c r="AX59" s="558">
        <f>+AU$28*AW59+AV59</f>
        <v>750000</v>
      </c>
      <c r="AY59" s="576">
        <f>+BA58</f>
        <v>15583333.333333332</v>
      </c>
      <c r="AZ59" s="575">
        <f>+AY$31</f>
        <v>500000</v>
      </c>
      <c r="BA59" s="575">
        <f t="shared" si="2"/>
        <v>15083333.333333332</v>
      </c>
      <c r="BB59" s="558">
        <f>+AY$28*BA59+AZ59</f>
        <v>500000</v>
      </c>
      <c r="BC59" s="576">
        <f>+BE58</f>
        <v>24250000</v>
      </c>
      <c r="BD59" s="575">
        <f>+BC$31</f>
        <v>750000</v>
      </c>
      <c r="BE59" s="575">
        <f t="shared" si="4"/>
        <v>23500000</v>
      </c>
      <c r="BF59" s="558">
        <f>+BC$28*BE59+BD59</f>
        <v>750000</v>
      </c>
      <c r="BG59" s="576">
        <f>+BI58</f>
        <v>15952380.952380955</v>
      </c>
      <c r="BH59" s="575">
        <f>+BG$31</f>
        <v>571428.57142857148</v>
      </c>
      <c r="BI59" s="575">
        <f t="shared" si="5"/>
        <v>15380952.380952384</v>
      </c>
      <c r="BJ59" s="558">
        <f>+BG$28*BI59+BH59</f>
        <v>571428.57142857148</v>
      </c>
      <c r="BK59" s="576">
        <f>+BM58</f>
        <v>22400000</v>
      </c>
      <c r="BL59" s="575">
        <f>+BK$31</f>
        <v>1200000</v>
      </c>
      <c r="BM59" s="575">
        <f t="shared" si="9"/>
        <v>21200000</v>
      </c>
      <c r="BN59" s="558">
        <f>+BK$28*BM59+BL59</f>
        <v>1200000</v>
      </c>
      <c r="BO59" s="576">
        <f>+BQ58</f>
        <v>15833333.333333328</v>
      </c>
      <c r="BP59" s="575">
        <f>+BO$31</f>
        <v>666666.66666666663</v>
      </c>
      <c r="BQ59" s="575">
        <f t="shared" si="10"/>
        <v>15166666.666666662</v>
      </c>
      <c r="BR59" s="558">
        <f>+BO$28*BQ59+BP59</f>
        <v>666666.66666666663</v>
      </c>
      <c r="BS59" s="492">
        <f>+BU58</f>
        <v>324124.56818181823</v>
      </c>
      <c r="BT59" s="476">
        <f>+BS$31</f>
        <v>8310.886363636364</v>
      </c>
      <c r="BU59" s="476">
        <f t="shared" si="18"/>
        <v>315813.68181818188</v>
      </c>
      <c r="BV59" s="493">
        <f>+BS$28*BU59+BT59</f>
        <v>43855.485635620076</v>
      </c>
      <c r="BW59" s="492">
        <f>+BY58</f>
        <v>22785228.47727273</v>
      </c>
      <c r="BX59" s="476">
        <f>+BW$31</f>
        <v>576841.22727272729</v>
      </c>
      <c r="BY59" s="476">
        <f t="shared" si="20"/>
        <v>22208387.250000004</v>
      </c>
      <c r="BZ59" s="493">
        <f>+BW$28*BY59+BX59</f>
        <v>3076378.995027652</v>
      </c>
      <c r="CA59" s="492">
        <f>+CC58</f>
        <v>2154676.0000000005</v>
      </c>
      <c r="CB59" s="476">
        <f>+CA$31</f>
        <v>54433.919999999998</v>
      </c>
      <c r="CC59" s="476">
        <f t="shared" si="21"/>
        <v>2100242.0800000005</v>
      </c>
      <c r="CD59" s="493">
        <f>+CA$28*CC59+CB59</f>
        <v>290814.63244404114</v>
      </c>
      <c r="CE59" s="492">
        <f>+CG58</f>
        <v>185457.39181818184</v>
      </c>
      <c r="CF59" s="476">
        <f>+CE$31</f>
        <v>4725.0290909090909</v>
      </c>
      <c r="CG59" s="476">
        <f t="shared" si="22"/>
        <v>180732.36272727276</v>
      </c>
      <c r="CH59" s="493">
        <f>+CE$28*CG59+CF59</f>
        <v>25066.324539654503</v>
      </c>
      <c r="CI59" s="492">
        <f>+CK58</f>
        <v>496569.54545454541</v>
      </c>
      <c r="CJ59" s="476">
        <f>+CI$31</f>
        <v>12362.727272727272</v>
      </c>
      <c r="CK59" s="476">
        <f t="shared" si="23"/>
        <v>484206.81818181812</v>
      </c>
      <c r="CL59" s="493">
        <f>+CI$28*CK59+CJ59</f>
        <v>66859.85107670346</v>
      </c>
      <c r="CM59" s="492">
        <f>+CM30</f>
        <v>21282432.550000001</v>
      </c>
      <c r="CN59" s="476">
        <f>+CM$31/12*(12-$CM$32)</f>
        <v>120922.91221590909</v>
      </c>
      <c r="CO59" s="476">
        <f t="shared" ref="CO59:CO115" si="33">+CM59-CN59</f>
        <v>21161509.63778409</v>
      </c>
      <c r="CP59" s="493">
        <f>+(((CM$28*CO59)*(12-CM$32)/12))+CN59</f>
        <v>716351.02645629772</v>
      </c>
      <c r="CQ59" s="492">
        <f>+CQ30</f>
        <v>88780382.429999992</v>
      </c>
      <c r="CR59" s="476">
        <f>+CQ$31/12*(12-$CQ$32)</f>
        <v>504433.99107954535</v>
      </c>
      <c r="CS59" s="476">
        <f t="shared" ref="CS59:CS60" si="34">+CQ59-CR59</f>
        <v>88275948.438920453</v>
      </c>
      <c r="CT59" s="493">
        <f>+(((CQ$28*CS59)*(12-CQ$32)/12))+CR59</f>
        <v>2988282.37484127</v>
      </c>
      <c r="CU59" s="492">
        <f>+CU30</f>
        <v>29752596.390000001</v>
      </c>
      <c r="CV59" s="476">
        <f>+CU$31/12*(12-CU$32)</f>
        <v>0</v>
      </c>
      <c r="CW59" s="476">
        <f t="shared" ref="CW59:CW60" si="35">+CU59-CV59</f>
        <v>29752596.390000001</v>
      </c>
      <c r="CX59" s="493">
        <f>+(((CU$28*CW59)*(12-CU$32)/12))+CV59</f>
        <v>0</v>
      </c>
      <c r="DB59" s="493"/>
      <c r="DF59" s="493"/>
      <c r="DJ59" s="493"/>
      <c r="DN59" s="493"/>
      <c r="DR59" s="493"/>
      <c r="DV59" s="493"/>
      <c r="DZ59" s="493"/>
      <c r="ED59" s="493"/>
      <c r="EH59" s="493"/>
      <c r="EL59" s="493"/>
      <c r="EP59" s="493"/>
      <c r="ET59" s="493"/>
      <c r="EX59" s="493"/>
      <c r="EY59" s="582">
        <f t="shared" si="3"/>
        <v>25226265.896411862</v>
      </c>
      <c r="EZ59" s="557"/>
      <c r="FA59" s="578">
        <f>+EY59</f>
        <v>25226265.896411862</v>
      </c>
      <c r="FB59" s="483"/>
      <c r="FD59" s="492">
        <f>+FF58</f>
        <v>10377486.233333334</v>
      </c>
      <c r="FE59" s="476">
        <f>+FD$31</f>
        <v>1270712.6000000001</v>
      </c>
      <c r="FF59" s="476">
        <f t="shared" si="24"/>
        <v>9106773.6333333347</v>
      </c>
      <c r="FG59" s="493">
        <f>+FD$28*FF59+FE59</f>
        <v>2474028.0029221373</v>
      </c>
      <c r="FH59" s="492">
        <f>+FJ58</f>
        <v>8049639.5999999996</v>
      </c>
      <c r="FI59" s="476">
        <f>+FH$31</f>
        <v>894404.4</v>
      </c>
      <c r="FJ59" s="476">
        <f t="shared" si="25"/>
        <v>7155235.1999999993</v>
      </c>
      <c r="FK59" s="493">
        <f>+FH$28*FJ59+FI59</f>
        <v>1839855.0144937695</v>
      </c>
      <c r="FL59" s="492">
        <f>+FN58</f>
        <v>1252422.4364166665</v>
      </c>
      <c r="FM59" s="476">
        <f>+FL$31</f>
        <v>140458.59099999999</v>
      </c>
      <c r="FN59" s="476">
        <f t="shared" si="26"/>
        <v>1111963.8454166665</v>
      </c>
      <c r="FO59" s="493">
        <f>+FL$28*FN59+FM59</f>
        <v>287386.94088066393</v>
      </c>
      <c r="FP59" s="492">
        <f>+FR58</f>
        <v>152642.70000000001</v>
      </c>
      <c r="FQ59" s="476">
        <f>+FP$31</f>
        <v>16960.3</v>
      </c>
      <c r="FR59" s="476">
        <f t="shared" si="27"/>
        <v>135682.40000000002</v>
      </c>
      <c r="FS59" s="493">
        <f>+FP$28*FR59+FQ59</f>
        <v>34888.572777949972</v>
      </c>
      <c r="FT59" s="492">
        <f>+FV58</f>
        <v>11493.038333333334</v>
      </c>
      <c r="FU59" s="476">
        <f>+FT$31</f>
        <v>1253.7860000000001</v>
      </c>
      <c r="FV59" s="476">
        <f t="shared" si="32"/>
        <v>10239.252333333334</v>
      </c>
      <c r="FW59" s="493">
        <f>+FT$28*FV59+FU59</f>
        <v>2606.7404647961766</v>
      </c>
      <c r="FX59" s="492">
        <f>+FZ58</f>
        <v>37307654.814999998</v>
      </c>
      <c r="FY59" s="476">
        <f>+FX$31</f>
        <v>4033259.9799999995</v>
      </c>
      <c r="FZ59" s="476">
        <f t="shared" si="28"/>
        <v>33274394.834999997</v>
      </c>
      <c r="GA59" s="493">
        <f>+FX$28*FZ59+FY59</f>
        <v>8429942.4319841154</v>
      </c>
      <c r="GB59" s="492">
        <f>+GD58</f>
        <v>508427.8608333334</v>
      </c>
      <c r="GC59" s="476">
        <f>+GB$31</f>
        <v>53053.342000000004</v>
      </c>
      <c r="GD59" s="476">
        <f t="shared" si="29"/>
        <v>455374.51883333339</v>
      </c>
      <c r="GE59" s="493">
        <f>+GB$28*GD59+GC59</f>
        <v>113223.84745812661</v>
      </c>
      <c r="GF59" s="492">
        <f>+GH58</f>
        <v>-516605.81749999971</v>
      </c>
      <c r="GG59" s="476">
        <f>+GF$31</f>
        <v>-53906.693999999974</v>
      </c>
      <c r="GH59" s="476">
        <f t="shared" si="30"/>
        <v>-462699.12349999975</v>
      </c>
      <c r="GI59" s="493">
        <f>+GF$28*GH59+GG59</f>
        <v>-115045.02955587427</v>
      </c>
      <c r="GJ59" s="492">
        <f>+GL58</f>
        <v>32720640.384833332</v>
      </c>
      <c r="GK59" s="476">
        <f>+GJ$31</f>
        <v>3327522.7509999997</v>
      </c>
      <c r="GL59" s="476">
        <f t="shared" si="31"/>
        <v>29393117.633833334</v>
      </c>
      <c r="GM59" s="493">
        <f>+GJ$28*GL59+GK59</f>
        <v>7211356.1054640673</v>
      </c>
      <c r="GN59" s="492">
        <f>+GP58</f>
        <v>493706.99174999999</v>
      </c>
      <c r="GO59" s="476">
        <f>+GN$31</f>
        <v>49785.578999999998</v>
      </c>
      <c r="GP59" s="476">
        <f t="shared" ref="GP59:GP76" si="36">+GN59-GO59</f>
        <v>443921.41275000002</v>
      </c>
      <c r="GQ59" s="493">
        <f>+GN$28*GP59+GO59</f>
        <v>108442.73851188156</v>
      </c>
      <c r="GR59" s="492">
        <f>+GR30</f>
        <v>1756061.9100000001</v>
      </c>
      <c r="GS59" s="476">
        <f>+GR$31/12*(12-$GR$32)</f>
        <v>87803.09550000001</v>
      </c>
      <c r="GT59" s="476">
        <f t="shared" ref="GT59:GT76" si="37">+GR59-GS59</f>
        <v>1668258.8145000001</v>
      </c>
      <c r="GU59" s="493">
        <f>+(((GR$28*GT59)*(12-GR$32)/12))+GS59</f>
        <v>198020.03996212422</v>
      </c>
      <c r="GY59" s="493"/>
      <c r="HC59" s="493"/>
      <c r="HG59" s="918"/>
      <c r="HH59" s="554"/>
      <c r="HI59" s="557"/>
      <c r="HJ59" s="557"/>
      <c r="HK59" s="918"/>
      <c r="HL59" s="554"/>
      <c r="HM59" s="557"/>
      <c r="HN59" s="557"/>
      <c r="HO59" s="918"/>
      <c r="HP59" s="554"/>
      <c r="HQ59" s="557"/>
      <c r="HR59" s="557"/>
      <c r="HS59" s="918"/>
      <c r="HT59" s="554"/>
      <c r="HU59" s="557"/>
      <c r="HV59" s="557"/>
      <c r="HW59" s="918"/>
      <c r="HX59" s="580"/>
      <c r="HY59" s="492"/>
      <c r="HZ59" s="476"/>
      <c r="IA59" s="476"/>
      <c r="IB59" s="493"/>
      <c r="IC59" s="492"/>
      <c r="ID59" s="476"/>
      <c r="IE59" s="476"/>
      <c r="IF59" s="493"/>
      <c r="IG59" s="492"/>
      <c r="IH59" s="476"/>
      <c r="II59" s="476"/>
      <c r="IJ59" s="493"/>
    </row>
    <row r="60" spans="1:244">
      <c r="A60" s="554" t="s">
        <v>23</v>
      </c>
      <c r="B60" s="574">
        <f t="shared" si="0"/>
        <v>2016</v>
      </c>
      <c r="C60" s="575">
        <f>+C59</f>
        <v>16382855.415340908</v>
      </c>
      <c r="D60" s="575">
        <f>+D59</f>
        <v>445791.98409090913</v>
      </c>
      <c r="E60" s="575">
        <f t="shared" si="6"/>
        <v>15937063.431249999</v>
      </c>
      <c r="F60" s="558">
        <f>+C$29*E60+D60</f>
        <v>2343378.8508626134</v>
      </c>
      <c r="G60" s="575">
        <f>+G59</f>
        <v>4228187.3584090881</v>
      </c>
      <c r="H60" s="575">
        <f>+H59</f>
        <v>115840.74954545456</v>
      </c>
      <c r="I60" s="575">
        <f t="shared" si="7"/>
        <v>4112346.6088636336</v>
      </c>
      <c r="J60" s="558">
        <f>+G$29*I60+H60</f>
        <v>605487.72561830608</v>
      </c>
      <c r="K60" s="576">
        <f>+K59</f>
        <v>10918756.460624997</v>
      </c>
      <c r="L60" s="575">
        <f>+L59</f>
        <v>305419.76113636367</v>
      </c>
      <c r="M60" s="575">
        <f t="shared" si="8"/>
        <v>10613336.699488632</v>
      </c>
      <c r="N60" s="558">
        <f>+K$29*M60+L60</f>
        <v>1569123.6059792619</v>
      </c>
      <c r="O60" s="576">
        <f>+O59</f>
        <v>4514134.0378787871</v>
      </c>
      <c r="P60" s="575">
        <f>+P59</f>
        <v>119316.31818181818</v>
      </c>
      <c r="Q60" s="575">
        <f t="shared" si="11"/>
        <v>4394817.7196969688</v>
      </c>
      <c r="R60" s="558">
        <f>+O$29*Q60+P60</f>
        <v>642596.43328759319</v>
      </c>
      <c r="S60" s="492">
        <f>+S59</f>
        <v>2109084.6806060593</v>
      </c>
      <c r="T60" s="476">
        <f>+T59</f>
        <v>58315.705454545445</v>
      </c>
      <c r="U60" s="476">
        <f t="shared" si="12"/>
        <v>2050768.9751515137</v>
      </c>
      <c r="V60" s="493">
        <f>+S$29*U60+T60</f>
        <v>302495.71332222794</v>
      </c>
      <c r="W60" s="492">
        <f>+W59</f>
        <v>26229608.382575758</v>
      </c>
      <c r="X60" s="476">
        <f>+X59</f>
        <v>693293.61363636365</v>
      </c>
      <c r="Y60" s="476">
        <f t="shared" si="13"/>
        <v>25536314.768939395</v>
      </c>
      <c r="Z60" s="493">
        <f>+W$29*Y60+X60</f>
        <v>3733839.6803772817</v>
      </c>
      <c r="AA60" s="492">
        <f>+AA59</f>
        <v>17094095.78598484</v>
      </c>
      <c r="AB60" s="476">
        <f>+AB59</f>
        <v>450833.29545454547</v>
      </c>
      <c r="AC60" s="476">
        <f t="shared" si="14"/>
        <v>16643262.490530295</v>
      </c>
      <c r="AD60" s="493">
        <f>+AA$29*AC60+AB60</f>
        <v>2432505.5438273014</v>
      </c>
      <c r="AE60" s="492">
        <f>+AE59</f>
        <v>172420.73863636371</v>
      </c>
      <c r="AF60" s="476">
        <f>+AF59</f>
        <v>4597.886363636364</v>
      </c>
      <c r="AG60" s="476">
        <f t="shared" si="15"/>
        <v>167822.85227272735</v>
      </c>
      <c r="AH60" s="493">
        <f>+AE$29*AG60+AF60</f>
        <v>24580.139793866798</v>
      </c>
      <c r="AI60" s="492">
        <f>+AI59</f>
        <v>11477091.935606061</v>
      </c>
      <c r="AJ60" s="476">
        <f>+AJ59</f>
        <v>295547.43181818182</v>
      </c>
      <c r="AK60" s="476">
        <f t="shared" si="19"/>
        <v>11181544.503787879</v>
      </c>
      <c r="AL60" s="493">
        <f>+AI$29*AK60+AJ60</f>
        <v>1626906.3796031449</v>
      </c>
      <c r="AM60" s="492">
        <f>+AM59</f>
        <v>4268376.2537499983</v>
      </c>
      <c r="AN60" s="476">
        <f>+AN59</f>
        <v>110866.91568181818</v>
      </c>
      <c r="AO60" s="476">
        <f t="shared" si="16"/>
        <v>4157509.3380681803</v>
      </c>
      <c r="AP60" s="493">
        <f>+AM$29*AO60+AN60</f>
        <v>605891.30662007525</v>
      </c>
      <c r="AQ60" s="492">
        <f>+AQ59</f>
        <v>35066124.19431819</v>
      </c>
      <c r="AR60" s="476">
        <f>+AR59</f>
        <v>904932.23727272719</v>
      </c>
      <c r="AS60" s="476">
        <f t="shared" si="17"/>
        <v>34161191.957045466</v>
      </c>
      <c r="AT60" s="493">
        <f>+AQ$29*AS60+AR60</f>
        <v>4972421.175281697</v>
      </c>
      <c r="AU60" s="576">
        <f>+AU59</f>
        <v>23875000</v>
      </c>
      <c r="AV60" s="575">
        <f>+AV59</f>
        <v>750000</v>
      </c>
      <c r="AW60" s="575">
        <f t="shared" si="1"/>
        <v>23125000</v>
      </c>
      <c r="AX60" s="558">
        <f>+AU$29*AW60+AV60</f>
        <v>750000</v>
      </c>
      <c r="AY60" s="576">
        <f>+AY59</f>
        <v>15583333.333333332</v>
      </c>
      <c r="AZ60" s="575">
        <f>+AZ59</f>
        <v>500000</v>
      </c>
      <c r="BA60" s="575">
        <f t="shared" si="2"/>
        <v>15083333.333333332</v>
      </c>
      <c r="BB60" s="558">
        <f>+AY$29*BA60+AZ60</f>
        <v>500000</v>
      </c>
      <c r="BC60" s="576">
        <f>+BC59</f>
        <v>24250000</v>
      </c>
      <c r="BD60" s="575">
        <f>+BD59</f>
        <v>750000</v>
      </c>
      <c r="BE60" s="575">
        <f t="shared" si="4"/>
        <v>23500000</v>
      </c>
      <c r="BF60" s="558">
        <f>+BC$29*BE60+BD60</f>
        <v>750000</v>
      </c>
      <c r="BG60" s="576">
        <f>+BG59</f>
        <v>15952380.952380955</v>
      </c>
      <c r="BH60" s="575">
        <f>+BH59</f>
        <v>571428.57142857148</v>
      </c>
      <c r="BI60" s="575">
        <f t="shared" si="5"/>
        <v>15380952.380952384</v>
      </c>
      <c r="BJ60" s="558">
        <f>+BG$29*BI60+BH60</f>
        <v>571428.57142857148</v>
      </c>
      <c r="BK60" s="576">
        <f>+BK59</f>
        <v>22400000</v>
      </c>
      <c r="BL60" s="575">
        <f>+BL59</f>
        <v>1200000</v>
      </c>
      <c r="BM60" s="575">
        <f t="shared" si="9"/>
        <v>21200000</v>
      </c>
      <c r="BN60" s="558">
        <f>+BK$29*BM60+BL60</f>
        <v>1200000</v>
      </c>
      <c r="BO60" s="576">
        <f>+BO59</f>
        <v>15833333.333333328</v>
      </c>
      <c r="BP60" s="575">
        <f>+BP59</f>
        <v>666666.66666666663</v>
      </c>
      <c r="BQ60" s="575">
        <f t="shared" si="10"/>
        <v>15166666.666666662</v>
      </c>
      <c r="BR60" s="558">
        <f>+BO$29*BQ60+BP60</f>
        <v>666666.66666666663</v>
      </c>
      <c r="BS60" s="492">
        <f>+BS59</f>
        <v>324124.56818181823</v>
      </c>
      <c r="BT60" s="476">
        <f>+BT59</f>
        <v>8310.886363636364</v>
      </c>
      <c r="BU60" s="476">
        <f t="shared" si="18"/>
        <v>315813.68181818188</v>
      </c>
      <c r="BV60" s="493">
        <f>+BS$29*BU60+BT60</f>
        <v>45914.043152853948</v>
      </c>
      <c r="BW60" s="492">
        <f>+BW59</f>
        <v>22785228.47727273</v>
      </c>
      <c r="BX60" s="476">
        <f>+BX59</f>
        <v>576841.22727272729</v>
      </c>
      <c r="BY60" s="476">
        <f t="shared" si="20"/>
        <v>22208387.250000004</v>
      </c>
      <c r="BZ60" s="493">
        <f>+BW$29*BY60+BX60</f>
        <v>3076378.995027652</v>
      </c>
      <c r="CA60" s="492">
        <f>+CA59</f>
        <v>2154676.0000000005</v>
      </c>
      <c r="CB60" s="476">
        <f>+CB59</f>
        <v>54433.919999999998</v>
      </c>
      <c r="CC60" s="476">
        <f t="shared" si="21"/>
        <v>2100242.0800000005</v>
      </c>
      <c r="CD60" s="493">
        <f>+CA$29*CC60+CB60</f>
        <v>304504.56853833614</v>
      </c>
      <c r="CE60" s="492">
        <f>+CE59</f>
        <v>185457.39181818184</v>
      </c>
      <c r="CF60" s="476">
        <f>+CF59</f>
        <v>4725.0290909090909</v>
      </c>
      <c r="CG60" s="476">
        <f t="shared" si="22"/>
        <v>180732.36272727276</v>
      </c>
      <c r="CH60" s="493">
        <f>+CE$29*CG60+CF60</f>
        <v>26244.38611620729</v>
      </c>
      <c r="CI60" s="492">
        <f>+CI59</f>
        <v>496569.54545454541</v>
      </c>
      <c r="CJ60" s="476">
        <f>+CJ59</f>
        <v>12362.727272727272</v>
      </c>
      <c r="CK60" s="476">
        <f t="shared" si="23"/>
        <v>484206.81818181812</v>
      </c>
      <c r="CL60" s="493">
        <f>+CI$29*CK60+CJ60</f>
        <v>66859.85107670346</v>
      </c>
      <c r="CM60" s="492">
        <f>+CM59</f>
        <v>21282432.550000001</v>
      </c>
      <c r="CN60" s="476">
        <f>+CN59</f>
        <v>120922.91221590909</v>
      </c>
      <c r="CO60" s="476">
        <f t="shared" si="33"/>
        <v>21161509.63778409</v>
      </c>
      <c r="CP60" s="493">
        <f>+(((CM$29*CO60)*(12-CM$32)/12))+CN60</f>
        <v>716351.02645629772</v>
      </c>
      <c r="CQ60" s="492">
        <f>+CQ59</f>
        <v>88780382.429999992</v>
      </c>
      <c r="CR60" s="476">
        <f>+CR59</f>
        <v>504433.99107954535</v>
      </c>
      <c r="CS60" s="476">
        <f t="shared" si="34"/>
        <v>88275948.438920453</v>
      </c>
      <c r="CT60" s="493">
        <f>+(((CQ$29*CS60)*(12-CQ$32)/12))+CR60</f>
        <v>2988282.37484127</v>
      </c>
      <c r="CU60" s="492">
        <f>+CU59</f>
        <v>29752596.390000001</v>
      </c>
      <c r="CV60" s="476">
        <f>+CV59</f>
        <v>0</v>
      </c>
      <c r="CW60" s="476">
        <f t="shared" si="35"/>
        <v>29752596.390000001</v>
      </c>
      <c r="CX60" s="493">
        <f>+(((CU$29*CW60)*(12-CU$32)/12))+CV60</f>
        <v>0</v>
      </c>
      <c r="DB60" s="493"/>
      <c r="DF60" s="493"/>
      <c r="DJ60" s="493"/>
      <c r="DO60" s="492"/>
      <c r="DP60" s="476"/>
      <c r="DQ60" s="476"/>
      <c r="DR60" s="493"/>
      <c r="DS60" s="492"/>
      <c r="DT60" s="476"/>
      <c r="DU60" s="476"/>
      <c r="DV60" s="493"/>
      <c r="DW60" s="492"/>
      <c r="DX60" s="476"/>
      <c r="DY60" s="476"/>
      <c r="DZ60" s="493"/>
      <c r="EA60" s="492"/>
      <c r="EB60" s="476"/>
      <c r="EC60" s="476"/>
      <c r="ED60" s="493"/>
      <c r="EE60" s="492"/>
      <c r="EF60" s="476"/>
      <c r="EG60" s="476"/>
      <c r="EH60" s="493"/>
      <c r="EI60" s="492"/>
      <c r="EJ60" s="476"/>
      <c r="EK60" s="476"/>
      <c r="EL60" s="493"/>
      <c r="EM60" s="492"/>
      <c r="EN60" s="476"/>
      <c r="EO60" s="476"/>
      <c r="EP60" s="493"/>
      <c r="EQ60" s="492"/>
      <c r="ER60" s="476"/>
      <c r="ES60" s="476"/>
      <c r="ET60" s="493"/>
      <c r="EU60" s="492"/>
      <c r="EV60" s="476"/>
      <c r="EW60" s="476"/>
      <c r="EX60" s="493"/>
      <c r="EY60" s="582">
        <f t="shared" si="3"/>
        <v>26083761.799782686</v>
      </c>
      <c r="EZ60" s="579">
        <f>+EY60</f>
        <v>26083761.799782686</v>
      </c>
      <c r="FA60" s="553"/>
      <c r="FB60" s="600"/>
      <c r="FD60" s="492">
        <f>+FD59</f>
        <v>10377486.233333334</v>
      </c>
      <c r="FE60" s="476">
        <f>+FE59</f>
        <v>1270712.6000000001</v>
      </c>
      <c r="FF60" s="476">
        <f t="shared" si="24"/>
        <v>9106773.6333333347</v>
      </c>
      <c r="FG60" s="493">
        <f>+FD$29*FF60+FE60</f>
        <v>2474028.0029221373</v>
      </c>
      <c r="FH60" s="492">
        <f>+FH59</f>
        <v>8049639.5999999996</v>
      </c>
      <c r="FI60" s="476">
        <f>+FI59</f>
        <v>894404.4</v>
      </c>
      <c r="FJ60" s="476">
        <f t="shared" si="25"/>
        <v>7155235.1999999993</v>
      </c>
      <c r="FK60" s="493">
        <f>+FH$29*FJ60+FI60</f>
        <v>1839855.0144937695</v>
      </c>
      <c r="FL60" s="492">
        <f>+FL59</f>
        <v>1252422.4364166665</v>
      </c>
      <c r="FM60" s="476">
        <f>+FM59</f>
        <v>140458.59099999999</v>
      </c>
      <c r="FN60" s="476">
        <f t="shared" si="26"/>
        <v>1111963.8454166665</v>
      </c>
      <c r="FO60" s="493">
        <f>+FL$29*FN60+FM60</f>
        <v>287386.94088066393</v>
      </c>
      <c r="FP60" s="492">
        <f>+FP59</f>
        <v>152642.70000000001</v>
      </c>
      <c r="FQ60" s="476">
        <f>+FQ59</f>
        <v>16960.3</v>
      </c>
      <c r="FR60" s="476">
        <f t="shared" si="27"/>
        <v>135682.40000000002</v>
      </c>
      <c r="FS60" s="493">
        <f>+FP$29*FR60+FQ60</f>
        <v>34888.572777949972</v>
      </c>
      <c r="FT60" s="492">
        <f>+FT59</f>
        <v>11493.038333333334</v>
      </c>
      <c r="FU60" s="476">
        <f>+FU59</f>
        <v>1253.7860000000001</v>
      </c>
      <c r="FV60" s="476">
        <f t="shared" si="32"/>
        <v>10239.252333333334</v>
      </c>
      <c r="FW60" s="493">
        <f>+FT$29*FV60+FU60</f>
        <v>2606.7404647961766</v>
      </c>
      <c r="FX60" s="492">
        <f>+FX59</f>
        <v>37307654.814999998</v>
      </c>
      <c r="FY60" s="476">
        <f>+FY59</f>
        <v>4033259.9799999995</v>
      </c>
      <c r="FZ60" s="476">
        <f t="shared" si="28"/>
        <v>33274394.834999997</v>
      </c>
      <c r="GA60" s="493">
        <f>+FX$29*FZ60+FY60</f>
        <v>8429942.4319841154</v>
      </c>
      <c r="GB60" s="492">
        <f>+GB59</f>
        <v>508427.8608333334</v>
      </c>
      <c r="GC60" s="476">
        <f>+GC59</f>
        <v>53053.342000000004</v>
      </c>
      <c r="GD60" s="476">
        <f t="shared" si="29"/>
        <v>455374.51883333339</v>
      </c>
      <c r="GE60" s="493">
        <f>+GB$29*GD60+GC60</f>
        <v>113223.84745812661</v>
      </c>
      <c r="GF60" s="492">
        <f>+GF59</f>
        <v>-516605.81749999971</v>
      </c>
      <c r="GG60" s="476">
        <f>+GG59</f>
        <v>-53906.693999999974</v>
      </c>
      <c r="GH60" s="476">
        <f t="shared" si="30"/>
        <v>-462699.12349999975</v>
      </c>
      <c r="GI60" s="493">
        <f>+GF$29*GH60+GG60</f>
        <v>-115045.02955587427</v>
      </c>
      <c r="GJ60" s="492">
        <f>+GJ59</f>
        <v>32720640.384833332</v>
      </c>
      <c r="GK60" s="476">
        <f>+GK59</f>
        <v>3327522.7509999997</v>
      </c>
      <c r="GL60" s="476">
        <f t="shared" si="31"/>
        <v>29393117.633833334</v>
      </c>
      <c r="GM60" s="493">
        <f>+GJ$29*GL60+GK60</f>
        <v>7211356.1054640673</v>
      </c>
      <c r="GN60" s="492">
        <f>+GN59</f>
        <v>493706.99174999999</v>
      </c>
      <c r="GO60" s="476">
        <f>+GO59</f>
        <v>49785.578999999998</v>
      </c>
      <c r="GP60" s="476">
        <f t="shared" si="36"/>
        <v>443921.41275000002</v>
      </c>
      <c r="GQ60" s="493">
        <f>+GN$29*GP60+GO60</f>
        <v>108442.73851188156</v>
      </c>
      <c r="GR60" s="492">
        <f>+GR59</f>
        <v>1756061.9100000001</v>
      </c>
      <c r="GS60" s="476">
        <f>+GS59</f>
        <v>87803.09550000001</v>
      </c>
      <c r="GT60" s="476">
        <f t="shared" si="37"/>
        <v>1668258.8145000001</v>
      </c>
      <c r="GU60" s="493">
        <f>+(((GR$29*GT60)*(12-GR$32)/12))+GS60</f>
        <v>198020.03996212422</v>
      </c>
      <c r="GV60" s="492"/>
      <c r="GW60" s="476"/>
      <c r="GX60" s="476"/>
      <c r="GY60" s="493"/>
      <c r="GZ60" s="492"/>
      <c r="HA60" s="476"/>
      <c r="HB60" s="476"/>
      <c r="HC60" s="493"/>
      <c r="HD60" s="576"/>
      <c r="HE60" s="580"/>
      <c r="HF60" s="580"/>
      <c r="HG60" s="918"/>
      <c r="HH60" s="576"/>
      <c r="HI60" s="575"/>
      <c r="HJ60" s="575"/>
      <c r="HK60" s="918"/>
      <c r="HL60" s="576"/>
      <c r="HM60" s="575"/>
      <c r="HN60" s="575"/>
      <c r="HO60" s="918"/>
      <c r="HP60" s="576"/>
      <c r="HQ60" s="575"/>
      <c r="HR60" s="575"/>
      <c r="HS60" s="918"/>
      <c r="HT60" s="576"/>
      <c r="HU60" s="575"/>
      <c r="HV60" s="575"/>
      <c r="HW60" s="918"/>
      <c r="HY60" s="492"/>
      <c r="HZ60" s="476"/>
      <c r="IA60" s="476"/>
      <c r="IB60" s="493"/>
      <c r="IC60" s="492"/>
      <c r="ID60" s="476"/>
      <c r="IE60" s="476"/>
      <c r="IF60" s="493"/>
      <c r="IG60" s="492"/>
      <c r="IH60" s="476"/>
      <c r="II60" s="476"/>
      <c r="IJ60" s="493"/>
    </row>
    <row r="61" spans="1:244">
      <c r="A61" s="554" t="s">
        <v>24</v>
      </c>
      <c r="B61" s="574">
        <f t="shared" si="0"/>
        <v>2017</v>
      </c>
      <c r="C61" s="575">
        <f>+E60</f>
        <v>15937063.431249999</v>
      </c>
      <c r="D61" s="575">
        <f>+C$31</f>
        <v>445791.98409090913</v>
      </c>
      <c r="E61" s="575">
        <f t="shared" si="6"/>
        <v>15491271.447159089</v>
      </c>
      <c r="F61" s="558">
        <f>+C$28*E61+D61</f>
        <v>2189323.2732761526</v>
      </c>
      <c r="G61" s="575">
        <f>+I60</f>
        <v>4112346.6088636336</v>
      </c>
      <c r="H61" s="575">
        <f>+G$31</f>
        <v>115840.74954545456</v>
      </c>
      <c r="I61" s="575">
        <f t="shared" si="7"/>
        <v>3996505.8593181791</v>
      </c>
      <c r="J61" s="558">
        <f>+G$28*I61+H61</f>
        <v>565644.56564289029</v>
      </c>
      <c r="K61" s="576">
        <f>+M60</f>
        <v>10613336.699488632</v>
      </c>
      <c r="L61" s="575">
        <f>+K$31</f>
        <v>305419.76113636367</v>
      </c>
      <c r="M61" s="575">
        <f t="shared" si="8"/>
        <v>10307916.938352268</v>
      </c>
      <c r="N61" s="558">
        <f>+K$28*M61+L61</f>
        <v>1465568.2853968185</v>
      </c>
      <c r="O61" s="576">
        <f>+Q60</f>
        <v>4394817.7196969688</v>
      </c>
      <c r="P61" s="575">
        <f>+O$31</f>
        <v>119316.31818181818</v>
      </c>
      <c r="Q61" s="575">
        <f t="shared" si="11"/>
        <v>4275501.4015151504</v>
      </c>
      <c r="R61" s="558">
        <f>+O$28*Q61+P61</f>
        <v>600520.87882258371</v>
      </c>
      <c r="S61" s="492">
        <f>+U60</f>
        <v>2050768.9751515137</v>
      </c>
      <c r="T61" s="476">
        <f>+S$31</f>
        <v>58315.705454545445</v>
      </c>
      <c r="U61" s="476">
        <f t="shared" si="12"/>
        <v>1992453.2696969681</v>
      </c>
      <c r="V61" s="493">
        <f>+S$28*U61+T61</f>
        <v>282564.86600961274</v>
      </c>
      <c r="W61" s="492">
        <f>+Y60</f>
        <v>25536314.768939395</v>
      </c>
      <c r="X61" s="476">
        <f>+W$31</f>
        <v>693293.61363636365</v>
      </c>
      <c r="Y61" s="476">
        <f t="shared" si="13"/>
        <v>24843021.155303031</v>
      </c>
      <c r="Z61" s="493">
        <f>+W$28*Y61+X61</f>
        <v>3489357.5035441956</v>
      </c>
      <c r="AA61" s="492">
        <f>+AC60</f>
        <v>16643262.490530295</v>
      </c>
      <c r="AB61" s="476">
        <f>+AA$31</f>
        <v>450833.29545454547</v>
      </c>
      <c r="AC61" s="476">
        <f t="shared" si="14"/>
        <v>16192429.19507575</v>
      </c>
      <c r="AD61" s="493">
        <f>+AA$28*AC61+AB61</f>
        <v>2273279.3771613254</v>
      </c>
      <c r="AE61" s="492">
        <f>+AG60</f>
        <v>167822.85227272735</v>
      </c>
      <c r="AF61" s="476">
        <f>+AE$31</f>
        <v>4597.886363636364</v>
      </c>
      <c r="AG61" s="476">
        <f t="shared" si="15"/>
        <v>163224.965909091</v>
      </c>
      <c r="AH61" s="493">
        <f>+AE$28*AG61+AF61</f>
        <v>22968.737084923338</v>
      </c>
      <c r="AI61" s="492">
        <f>+AK60</f>
        <v>11181544.503787879</v>
      </c>
      <c r="AJ61" s="476">
        <f>+AI$31</f>
        <v>295547.43181818182</v>
      </c>
      <c r="AK61" s="476">
        <f t="shared" si="19"/>
        <v>10885997.071969697</v>
      </c>
      <c r="AL61" s="493">
        <f>+AI$28*AK61+AJ61</f>
        <v>1520758.4529857715</v>
      </c>
      <c r="AM61" s="492">
        <f>+AO60</f>
        <v>4157509.3380681803</v>
      </c>
      <c r="AN61" s="476">
        <f>+AM$31</f>
        <v>110866.91568181818</v>
      </c>
      <c r="AO61" s="476">
        <f t="shared" si="16"/>
        <v>4046642.4223863622</v>
      </c>
      <c r="AP61" s="493">
        <f>+AM$28*AO61+AN61</f>
        <v>566313.56534135109</v>
      </c>
      <c r="AQ61" s="492">
        <f>+AS60</f>
        <v>34161191.957045466</v>
      </c>
      <c r="AR61" s="476">
        <f>+AQ$31</f>
        <v>904932.23727272719</v>
      </c>
      <c r="AS61" s="476">
        <f t="shared" si="17"/>
        <v>33256259.719772737</v>
      </c>
      <c r="AT61" s="493">
        <f>+AQ$28*AS61+AR61</f>
        <v>4647899.9840116873</v>
      </c>
      <c r="AU61" s="576">
        <f>+AW60</f>
        <v>23125000</v>
      </c>
      <c r="AV61" s="575">
        <f>+AU$31</f>
        <v>750000</v>
      </c>
      <c r="AW61" s="575">
        <f t="shared" si="1"/>
        <v>22375000</v>
      </c>
      <c r="AX61" s="558">
        <f>+AU$28*AW61+AV61</f>
        <v>750000</v>
      </c>
      <c r="AY61" s="576">
        <f>+BA60</f>
        <v>15083333.333333332</v>
      </c>
      <c r="AZ61" s="575">
        <f>+AY$31</f>
        <v>500000</v>
      </c>
      <c r="BA61" s="575">
        <f t="shared" si="2"/>
        <v>14583333.333333332</v>
      </c>
      <c r="BB61" s="558">
        <f>+AY$28*BA61+AZ61</f>
        <v>500000</v>
      </c>
      <c r="BC61" s="576">
        <f>+BE60</f>
        <v>23500000</v>
      </c>
      <c r="BD61" s="575">
        <f>+BC$31</f>
        <v>750000</v>
      </c>
      <c r="BE61" s="575">
        <f t="shared" si="4"/>
        <v>22750000</v>
      </c>
      <c r="BF61" s="558">
        <f>+BC$28*BE61+BD61</f>
        <v>750000</v>
      </c>
      <c r="BG61" s="576">
        <f>+BI60</f>
        <v>15380952.380952384</v>
      </c>
      <c r="BH61" s="575">
        <f>+BG$31</f>
        <v>571428.57142857148</v>
      </c>
      <c r="BI61" s="575">
        <f t="shared" si="5"/>
        <v>14809523.809523813</v>
      </c>
      <c r="BJ61" s="558">
        <f>+BG$28*BI61+BH61</f>
        <v>571428.57142857148</v>
      </c>
      <c r="BK61" s="576">
        <f>+BM60</f>
        <v>21200000</v>
      </c>
      <c r="BL61" s="575">
        <f>+BK$31</f>
        <v>1200000</v>
      </c>
      <c r="BM61" s="575">
        <f t="shared" si="9"/>
        <v>20000000</v>
      </c>
      <c r="BN61" s="558">
        <f>+BK$28*BM61+BL61</f>
        <v>1200000</v>
      </c>
      <c r="BO61" s="576">
        <f>+BQ60</f>
        <v>15166666.666666662</v>
      </c>
      <c r="BP61" s="575">
        <f>+BO$31</f>
        <v>666666.66666666663</v>
      </c>
      <c r="BQ61" s="575">
        <f t="shared" si="10"/>
        <v>14499999.999999996</v>
      </c>
      <c r="BR61" s="558">
        <f>+BO$28*BQ61+BP61</f>
        <v>666666.66666666663</v>
      </c>
      <c r="BS61" s="492">
        <f>+BU60</f>
        <v>315813.68181818188</v>
      </c>
      <c r="BT61" s="476">
        <f>+BS$31</f>
        <v>8310.886363636364</v>
      </c>
      <c r="BU61" s="476">
        <f t="shared" si="18"/>
        <v>307502.79545454553</v>
      </c>
      <c r="BV61" s="493">
        <f>+BS$28*BU61+BT61</f>
        <v>42920.101444252083</v>
      </c>
      <c r="BW61" s="492">
        <f>+BY60</f>
        <v>22208387.250000004</v>
      </c>
      <c r="BX61" s="476">
        <f>+BW$31</f>
        <v>576841.22727272729</v>
      </c>
      <c r="BY61" s="476">
        <f t="shared" si="20"/>
        <v>21631546.022727277</v>
      </c>
      <c r="BZ61" s="493">
        <f>+BW$28*BY61+BX61</f>
        <v>3011455.9361249264</v>
      </c>
      <c r="CA61" s="492">
        <f>+CC60</f>
        <v>2100242.0800000005</v>
      </c>
      <c r="CB61" s="476">
        <f>+CA$31</f>
        <v>54433.919999999998</v>
      </c>
      <c r="CC61" s="476">
        <f t="shared" si="21"/>
        <v>2045808.1600000006</v>
      </c>
      <c r="CD61" s="493">
        <f>+CA$28*CC61+CB61</f>
        <v>284688.13449732738</v>
      </c>
      <c r="CE61" s="492">
        <f>+CG60</f>
        <v>180732.36272727276</v>
      </c>
      <c r="CF61" s="476">
        <f>+CE$31</f>
        <v>4725.0290909090909</v>
      </c>
      <c r="CG61" s="476">
        <f t="shared" si="22"/>
        <v>176007.33363636368</v>
      </c>
      <c r="CH61" s="493">
        <f>+CE$28*CG61+CF61</f>
        <v>24534.525965831093</v>
      </c>
      <c r="CI61" s="492">
        <f>+CK60</f>
        <v>484206.81818181812</v>
      </c>
      <c r="CJ61" s="476">
        <f>+CI$31</f>
        <v>12362.727272727272</v>
      </c>
      <c r="CK61" s="476">
        <f t="shared" si="23"/>
        <v>471844.09090909082</v>
      </c>
      <c r="CL61" s="493">
        <f>+CI$28*CK61+CJ61</f>
        <v>65468.435149793419</v>
      </c>
      <c r="CM61" s="492">
        <f>+CO60</f>
        <v>21161509.63778409</v>
      </c>
      <c r="CN61" s="476">
        <f>+CM$31</f>
        <v>483691.64886363636</v>
      </c>
      <c r="CO61" s="476">
        <f t="shared" si="33"/>
        <v>20677817.988920454</v>
      </c>
      <c r="CP61" s="493">
        <f>+CM$28*CO61+CN61</f>
        <v>2810964.9639517837</v>
      </c>
      <c r="CQ61" s="492">
        <f>+CS60</f>
        <v>88275948.438920453</v>
      </c>
      <c r="CR61" s="476">
        <f>+CQ$31</f>
        <v>2017735.9643181816</v>
      </c>
      <c r="CS61" s="476">
        <f t="shared" ref="CS61:CS115" si="38">+CQ61-CR61</f>
        <v>86258212.474602267</v>
      </c>
      <c r="CT61" s="493">
        <f>+CQ$28*CS61+CR61</f>
        <v>11726034.789992582</v>
      </c>
      <c r="CU61" s="492">
        <f>+CW60</f>
        <v>29752596.390000001</v>
      </c>
      <c r="CV61" s="476">
        <f>+CU$31</f>
        <v>676195.37250000006</v>
      </c>
      <c r="CW61" s="476">
        <f t="shared" ref="CW61:CW115" si="39">+CU61-CV61</f>
        <v>29076401.017500002</v>
      </c>
      <c r="CX61" s="493">
        <f>+CU$28*CW61+CV61</f>
        <v>3948723.0745567516</v>
      </c>
      <c r="CY61" s="492">
        <f>+CY30</f>
        <v>32283.850000000057</v>
      </c>
      <c r="CZ61" s="476">
        <f>+CY$31/12*(12-$CY$32)</f>
        <v>366.86193181818248</v>
      </c>
      <c r="DA61" s="476">
        <f t="shared" ref="DA61:DA124" si="40">+CY61-CZ61</f>
        <v>31916.988068181876</v>
      </c>
      <c r="DB61" s="493">
        <f>+(((CY$28*DA61)*(12-CY$32)/12))+CZ61</f>
        <v>2162.9787819826147</v>
      </c>
      <c r="DC61" s="492">
        <f>+DC30</f>
        <v>1959349.5999999999</v>
      </c>
      <c r="DD61" s="476">
        <f>+DC$31/12*(12-$DC$32)</f>
        <v>33398.00454545454</v>
      </c>
      <c r="DE61" s="476">
        <f t="shared" ref="DE61:DE124" si="41">+DC61-DD61</f>
        <v>1925951.5954545452</v>
      </c>
      <c r="DF61" s="493">
        <f>+(((DC$28*DE61)*(12-DC$32)/12))+DD61</f>
        <v>195971.33880590906</v>
      </c>
      <c r="DG61" s="492">
        <f>+DG30</f>
        <v>1084136.8699999999</v>
      </c>
      <c r="DH61" s="476">
        <f>+DG$31/12*(12-DG$32)</f>
        <v>12319.73715909091</v>
      </c>
      <c r="DI61" s="476">
        <f t="shared" ref="DI61:DI124" si="42">+DG61-DH61</f>
        <v>1071817.1328409091</v>
      </c>
      <c r="DJ61" s="493">
        <f>+(((DG$28*DI61)*(12-DG$32)/12))+DH61</f>
        <v>72635.854973153444</v>
      </c>
      <c r="DK61" s="492">
        <f>+DK30</f>
        <v>24184987.59</v>
      </c>
      <c r="DL61" s="476">
        <f>+DK$31/12*(12-DK$32)</f>
        <v>458049.00738636358</v>
      </c>
      <c r="DM61" s="476">
        <f t="shared" ref="DM61:DM124" si="43">+DK61-DL61</f>
        <v>23726938.582613636</v>
      </c>
      <c r="DN61" s="493">
        <f>+(((DK$28*DM61)*(12-DK$32)/12))+DL61</f>
        <v>2683423.6835102933</v>
      </c>
      <c r="DR61" s="493"/>
      <c r="DV61" s="493"/>
      <c r="DZ61" s="493"/>
      <c r="ED61" s="493"/>
      <c r="EH61" s="493"/>
      <c r="EL61" s="493"/>
      <c r="EP61" s="493"/>
      <c r="ET61" s="493"/>
      <c r="EX61" s="493"/>
      <c r="EY61" s="582">
        <f t="shared" si="3"/>
        <v>42493183.3070319</v>
      </c>
      <c r="EZ61" s="557"/>
      <c r="FA61" s="578">
        <f>+EY61</f>
        <v>42493183.3070319</v>
      </c>
      <c r="FD61" s="492">
        <f>+FF60</f>
        <v>9106773.6333333347</v>
      </c>
      <c r="FE61" s="476">
        <f>+FE59</f>
        <v>1270712.6000000001</v>
      </c>
      <c r="FF61" s="476">
        <f t="shared" si="24"/>
        <v>7836061.0333333351</v>
      </c>
      <c r="FG61" s="493">
        <f>+FD$28*FF61+FE61</f>
        <v>2306123.5280957925</v>
      </c>
      <c r="FH61" s="492">
        <f>+FJ60</f>
        <v>7155235.1999999993</v>
      </c>
      <c r="FI61" s="476">
        <f>+FI59</f>
        <v>894404.4</v>
      </c>
      <c r="FJ61" s="476">
        <f t="shared" si="25"/>
        <v>6260830.7999999989</v>
      </c>
      <c r="FK61" s="493">
        <f>+FH$28*FJ61+FI61</f>
        <v>1721673.6876820482</v>
      </c>
      <c r="FL61" s="492">
        <f>+FN60</f>
        <v>1111963.8454166665</v>
      </c>
      <c r="FM61" s="476">
        <f>+FM59</f>
        <v>140458.59099999999</v>
      </c>
      <c r="FN61" s="476">
        <f t="shared" si="26"/>
        <v>971505.25441666646</v>
      </c>
      <c r="FO61" s="493">
        <f>+FL$28*FN61+FM61</f>
        <v>268827.57036942214</v>
      </c>
      <c r="FP61" s="492">
        <f>+FR60</f>
        <v>135682.40000000002</v>
      </c>
      <c r="FQ61" s="476">
        <f>+FQ59</f>
        <v>16960.3</v>
      </c>
      <c r="FR61" s="476">
        <f t="shared" si="27"/>
        <v>118722.10000000002</v>
      </c>
      <c r="FS61" s="493">
        <f>+FP$28*FR61+FQ61</f>
        <v>32647.538680706228</v>
      </c>
      <c r="FT61" s="492">
        <f>+FV60</f>
        <v>10239.252333333334</v>
      </c>
      <c r="FU61" s="476">
        <f>+FU59</f>
        <v>1253.7860000000001</v>
      </c>
      <c r="FV61" s="476">
        <f t="shared" si="32"/>
        <v>8985.4663333333338</v>
      </c>
      <c r="FW61" s="493">
        <f>+FT$28*FV61+FU61</f>
        <v>2441.0725711476653</v>
      </c>
      <c r="FX61" s="492">
        <f>+FZ60</f>
        <v>33274394.834999997</v>
      </c>
      <c r="FY61" s="476">
        <f>+FY59</f>
        <v>4033259.9799999995</v>
      </c>
      <c r="FZ61" s="476">
        <f t="shared" si="28"/>
        <v>29241134.854999997</v>
      </c>
      <c r="GA61" s="493">
        <f>+FX$28*FZ61+FY61</f>
        <v>7897011.2256830102</v>
      </c>
      <c r="GB61" s="492">
        <f>+GD60</f>
        <v>455374.51883333339</v>
      </c>
      <c r="GC61" s="476">
        <f>+GC59</f>
        <v>53053.342000000004</v>
      </c>
      <c r="GD61" s="476">
        <f t="shared" si="29"/>
        <v>402321.17683333339</v>
      </c>
      <c r="GE61" s="493">
        <f>+GB$28*GD61+GC61</f>
        <v>106213.69148242255</v>
      </c>
      <c r="GF61" s="492">
        <f>+GH60</f>
        <v>-462699.12349999975</v>
      </c>
      <c r="GG61" s="476">
        <f>+GG59</f>
        <v>-53906.693999999974</v>
      </c>
      <c r="GH61" s="476">
        <f t="shared" si="30"/>
        <v>-408792.42949999979</v>
      </c>
      <c r="GI61" s="493">
        <f>+GF$28*GH61+GG61</f>
        <v>-107922.11667557823</v>
      </c>
      <c r="GJ61" s="492">
        <f>+GL60</f>
        <v>29393117.633833334</v>
      </c>
      <c r="GK61" s="476">
        <f>+GK59</f>
        <v>3327522.7509999997</v>
      </c>
      <c r="GL61" s="476">
        <f t="shared" si="31"/>
        <v>26065594.882833336</v>
      </c>
      <c r="GM61" s="493">
        <f>+GJ$28*GL61+GK61</f>
        <v>6771676.8577888906</v>
      </c>
      <c r="GN61" s="492">
        <f>+GP60</f>
        <v>443921.41275000002</v>
      </c>
      <c r="GO61" s="476">
        <f>+GO59</f>
        <v>49785.578999999998</v>
      </c>
      <c r="GP61" s="476">
        <f t="shared" si="36"/>
        <v>394135.83374999999</v>
      </c>
      <c r="GQ61" s="493">
        <f>+GN$28*GP61+GO61</f>
        <v>101864.36548251167</v>
      </c>
      <c r="GR61" s="492">
        <f>+GT60</f>
        <v>1668258.8145000001</v>
      </c>
      <c r="GS61" s="476">
        <f>+GR31</f>
        <v>175606.19100000002</v>
      </c>
      <c r="GT61" s="476">
        <f t="shared" si="37"/>
        <v>1492652.6235</v>
      </c>
      <c r="GU61" s="493">
        <f>+GR$28*GT61+GS61</f>
        <v>372836.5126690644</v>
      </c>
      <c r="GV61" s="492">
        <f>+GV30</f>
        <v>36868090.68999999</v>
      </c>
      <c r="GW61" s="476">
        <f>+GV$31/12*(12-$GV$32)</f>
        <v>2150638.6235833326</v>
      </c>
      <c r="GX61" s="476">
        <f>+GV61-GW61</f>
        <v>34717452.066416658</v>
      </c>
      <c r="GY61" s="493">
        <f>+(((GV$28*GX61)*(12-GV$32)/12))+GW61</f>
        <v>4826598.3498846348</v>
      </c>
      <c r="HC61" s="493"/>
      <c r="HG61" s="918"/>
      <c r="HH61" s="554"/>
      <c r="HI61" s="557"/>
      <c r="HJ61" s="557"/>
      <c r="HK61" s="918"/>
      <c r="HL61" s="554"/>
      <c r="HM61" s="557"/>
      <c r="HN61" s="557"/>
      <c r="HO61" s="918"/>
      <c r="HP61" s="554"/>
      <c r="HQ61" s="557"/>
      <c r="HR61" s="557"/>
      <c r="HS61" s="918"/>
      <c r="HT61" s="554"/>
      <c r="HU61" s="557"/>
      <c r="HV61" s="557"/>
      <c r="HW61" s="918"/>
      <c r="HX61" s="580"/>
      <c r="HY61" s="492"/>
      <c r="HZ61" s="476"/>
      <c r="IA61" s="476"/>
      <c r="IB61" s="493"/>
      <c r="IC61" s="492">
        <f>+IC30</f>
        <v>1159350</v>
      </c>
      <c r="ID61" s="476">
        <f>+IC$31/12*(12-$IC$32)</f>
        <v>1159350</v>
      </c>
      <c r="IE61" s="476">
        <f>+ID61/2</f>
        <v>579675</v>
      </c>
      <c r="IF61" s="493">
        <f>+IC$28*IE61+ID61</f>
        <v>1210067.3363463925</v>
      </c>
      <c r="IG61" s="492">
        <f>+IG30</f>
        <v>0</v>
      </c>
      <c r="IH61" s="476">
        <f>+IG$31/12*(12-$IC$32)</f>
        <v>0</v>
      </c>
      <c r="II61" s="476">
        <f>+IH61/2</f>
        <v>0</v>
      </c>
      <c r="IJ61" s="493">
        <f>+IG$28*II61+IH61</f>
        <v>0</v>
      </c>
    </row>
    <row r="62" spans="1:244" ht="13">
      <c r="A62" s="554" t="s">
        <v>23</v>
      </c>
      <c r="B62" s="574">
        <f t="shared" si="0"/>
        <v>2017</v>
      </c>
      <c r="C62" s="575">
        <f>+C61</f>
        <v>15937063.431249999</v>
      </c>
      <c r="D62" s="575">
        <f>+D61</f>
        <v>445791.98409090913</v>
      </c>
      <c r="E62" s="575">
        <f t="shared" si="6"/>
        <v>15491271.447159089</v>
      </c>
      <c r="F62" s="558">
        <f>+C$29*E62+D62</f>
        <v>2290299.4979459224</v>
      </c>
      <c r="G62" s="575">
        <f>+G61</f>
        <v>4112346.6088636336</v>
      </c>
      <c r="H62" s="575">
        <f>+H61</f>
        <v>115840.74954545456</v>
      </c>
      <c r="I62" s="575">
        <f t="shared" si="7"/>
        <v>3996505.8593181791</v>
      </c>
      <c r="J62" s="558">
        <f>+G$29*I62+H62</f>
        <v>591694.85305287363</v>
      </c>
      <c r="K62" s="576">
        <f>+K61</f>
        <v>10613336.699488632</v>
      </c>
      <c r="L62" s="575">
        <f>+L61</f>
        <v>305419.76113636367</v>
      </c>
      <c r="M62" s="575">
        <f t="shared" si="8"/>
        <v>10307916.938352268</v>
      </c>
      <c r="N62" s="558">
        <f>+K$29*M62+L62</f>
        <v>1532758.0277104015</v>
      </c>
      <c r="O62" s="576">
        <f>+O61</f>
        <v>4394817.7196969688</v>
      </c>
      <c r="P62" s="575">
        <f>+P61</f>
        <v>119316.31818181818</v>
      </c>
      <c r="Q62" s="575">
        <f t="shared" si="11"/>
        <v>4275501.4015151504</v>
      </c>
      <c r="R62" s="558">
        <f>+O$29*Q62+P62</f>
        <v>628389.73332997039</v>
      </c>
      <c r="S62" s="492">
        <f>+S61</f>
        <v>2050768.9751515137</v>
      </c>
      <c r="T62" s="476">
        <f>+T61</f>
        <v>58315.705454545445</v>
      </c>
      <c r="U62" s="476">
        <f t="shared" si="12"/>
        <v>1992453.2696969681</v>
      </c>
      <c r="V62" s="493">
        <f>+S$29*U62+T62</f>
        <v>295552.2059894976</v>
      </c>
      <c r="W62" s="492">
        <f>+W61</f>
        <v>25536314.768939395</v>
      </c>
      <c r="X62" s="476">
        <f>+X61</f>
        <v>693293.61363636365</v>
      </c>
      <c r="Y62" s="476">
        <f t="shared" si="13"/>
        <v>24843021.155303031</v>
      </c>
      <c r="Z62" s="493">
        <f>+W$29*Y62+X62</f>
        <v>3651290.9183843154</v>
      </c>
      <c r="AA62" s="492">
        <f>+AA61</f>
        <v>16643262.490530295</v>
      </c>
      <c r="AB62" s="476">
        <f>+AB61</f>
        <v>450833.29545454547</v>
      </c>
      <c r="AC62" s="476">
        <f t="shared" si="14"/>
        <v>16192429.19507575</v>
      </c>
      <c r="AD62" s="493">
        <f>+AA$29*AC62+AB62</f>
        <v>2378825.9343905677</v>
      </c>
      <c r="AE62" s="492">
        <f>+AE61</f>
        <v>167822.85227272735</v>
      </c>
      <c r="AF62" s="476">
        <f>+AF61</f>
        <v>4597.886363636364</v>
      </c>
      <c r="AG62" s="476">
        <f t="shared" si="15"/>
        <v>163224.965909091</v>
      </c>
      <c r="AH62" s="493">
        <f>+AE$29*AG62+AF62</f>
        <v>24032.680795778295</v>
      </c>
      <c r="AI62" s="492">
        <f>+AI61</f>
        <v>11181544.503787879</v>
      </c>
      <c r="AJ62" s="476">
        <f>+AJ61</f>
        <v>295547.43181818182</v>
      </c>
      <c r="AK62" s="476">
        <f t="shared" si="19"/>
        <v>10885997.071969697</v>
      </c>
      <c r="AL62" s="493">
        <f>+AI$29*AK62+AJ62</f>
        <v>1591716.2752564058</v>
      </c>
      <c r="AM62" s="492">
        <f>+AM61</f>
        <v>4157509.3380681803</v>
      </c>
      <c r="AN62" s="476">
        <f>+AN61</f>
        <v>110866.91568181818</v>
      </c>
      <c r="AO62" s="476">
        <f t="shared" si="16"/>
        <v>4046642.4223863622</v>
      </c>
      <c r="AP62" s="493">
        <f>+AM$29*AO62+AN62</f>
        <v>592690.65619505511</v>
      </c>
      <c r="AQ62" s="492">
        <f>+AQ61</f>
        <v>34161191.957045466</v>
      </c>
      <c r="AR62" s="476">
        <f>+AR61</f>
        <v>904932.23727272719</v>
      </c>
      <c r="AS62" s="476">
        <f t="shared" si="17"/>
        <v>33256259.719772737</v>
      </c>
      <c r="AT62" s="493">
        <f>+AQ$29*AS62+AR62</f>
        <v>4864673.1239437107</v>
      </c>
      <c r="AU62" s="576">
        <f>+AU61</f>
        <v>23125000</v>
      </c>
      <c r="AV62" s="575">
        <f>+AV61</f>
        <v>750000</v>
      </c>
      <c r="AW62" s="575">
        <f t="shared" si="1"/>
        <v>22375000</v>
      </c>
      <c r="AX62" s="558">
        <f>+AU$29*AW62+AV62</f>
        <v>750000</v>
      </c>
      <c r="AY62" s="576">
        <f>+AY61</f>
        <v>15083333.333333332</v>
      </c>
      <c r="AZ62" s="575">
        <f>+AZ61</f>
        <v>500000</v>
      </c>
      <c r="BA62" s="575">
        <f t="shared" si="2"/>
        <v>14583333.333333332</v>
      </c>
      <c r="BB62" s="558">
        <f>+AY$29*BA62+AZ62</f>
        <v>500000</v>
      </c>
      <c r="BC62" s="576">
        <f>+BC61</f>
        <v>23500000</v>
      </c>
      <c r="BD62" s="575">
        <f>+BD61</f>
        <v>750000</v>
      </c>
      <c r="BE62" s="575">
        <f t="shared" si="4"/>
        <v>22750000</v>
      </c>
      <c r="BF62" s="558">
        <f>+BC$29*BE62+BD62</f>
        <v>750000</v>
      </c>
      <c r="BG62" s="576">
        <f>+BG61</f>
        <v>15380952.380952384</v>
      </c>
      <c r="BH62" s="575">
        <f>+BH61</f>
        <v>571428.57142857148</v>
      </c>
      <c r="BI62" s="575">
        <f t="shared" si="5"/>
        <v>14809523.809523813</v>
      </c>
      <c r="BJ62" s="558">
        <f>+BG$29*BI62+BH62</f>
        <v>571428.57142857148</v>
      </c>
      <c r="BK62" s="576">
        <f>+BK61</f>
        <v>21200000</v>
      </c>
      <c r="BL62" s="575">
        <f>+BL61</f>
        <v>1200000</v>
      </c>
      <c r="BM62" s="575">
        <f t="shared" si="9"/>
        <v>20000000</v>
      </c>
      <c r="BN62" s="558">
        <f>+BK$29*BM62+BL62</f>
        <v>1200000</v>
      </c>
      <c r="BO62" s="576">
        <f>+BO61</f>
        <v>15166666.666666662</v>
      </c>
      <c r="BP62" s="575">
        <f>+BP61</f>
        <v>666666.66666666663</v>
      </c>
      <c r="BQ62" s="575">
        <f t="shared" si="10"/>
        <v>14499999.999999996</v>
      </c>
      <c r="BR62" s="558">
        <f>+BO$29*BQ62+BP62</f>
        <v>666666.66666666663</v>
      </c>
      <c r="BS62" s="492">
        <f>+BS61</f>
        <v>315813.68181818188</v>
      </c>
      <c r="BT62" s="476">
        <f>+BT61</f>
        <v>8310.886363636364</v>
      </c>
      <c r="BU62" s="476">
        <f t="shared" si="18"/>
        <v>307502.79545454553</v>
      </c>
      <c r="BV62" s="493">
        <f>+BS$29*BU62+BT62</f>
        <v>44924.486395242959</v>
      </c>
      <c r="BW62" s="492">
        <f>+BW61</f>
        <v>22208387.250000004</v>
      </c>
      <c r="BX62" s="476">
        <f>+BX61</f>
        <v>576841.22727272729</v>
      </c>
      <c r="BY62" s="476">
        <f t="shared" si="20"/>
        <v>21631546.022727277</v>
      </c>
      <c r="BZ62" s="493">
        <f>+BW$29*BY62+BX62</f>
        <v>3011455.9361249264</v>
      </c>
      <c r="CA62" s="492">
        <f>+CA61</f>
        <v>2100242.0800000005</v>
      </c>
      <c r="CB62" s="476">
        <f>+CB61</f>
        <v>54433.919999999998</v>
      </c>
      <c r="CC62" s="476">
        <f t="shared" si="21"/>
        <v>2045808.1600000006</v>
      </c>
      <c r="CD62" s="493">
        <f>+CA$29*CC62+CB62</f>
        <v>298023.25583323889</v>
      </c>
      <c r="CE62" s="492">
        <f>+CE61</f>
        <v>180732.36272727276</v>
      </c>
      <c r="CF62" s="476">
        <f>+CF61</f>
        <v>4725.0290909090909</v>
      </c>
      <c r="CG62" s="476">
        <f t="shared" si="22"/>
        <v>176007.33363636368</v>
      </c>
      <c r="CH62" s="493">
        <f>+CE$29*CG62+CF62</f>
        <v>25681.788546918448</v>
      </c>
      <c r="CI62" s="492">
        <f>+CI61</f>
        <v>484206.81818181812</v>
      </c>
      <c r="CJ62" s="476">
        <f>+CJ61</f>
        <v>12362.727272727272</v>
      </c>
      <c r="CK62" s="476">
        <f t="shared" si="23"/>
        <v>471844.09090909082</v>
      </c>
      <c r="CL62" s="493">
        <f>+CI$29*CK62+CJ62</f>
        <v>65468.435149793419</v>
      </c>
      <c r="CM62" s="492">
        <f>+CM61</f>
        <v>21161509.63778409</v>
      </c>
      <c r="CN62" s="476">
        <f>+CN61</f>
        <v>483691.64886363636</v>
      </c>
      <c r="CO62" s="476">
        <f t="shared" si="33"/>
        <v>20677817.988920454</v>
      </c>
      <c r="CP62" s="493">
        <f>+CM$29*CO62+CN62</f>
        <v>2810964.9639517837</v>
      </c>
      <c r="CQ62" s="492">
        <f>+CQ61</f>
        <v>88275948.438920453</v>
      </c>
      <c r="CR62" s="476">
        <f>+CR61</f>
        <v>2017735.9643181816</v>
      </c>
      <c r="CS62" s="476">
        <f t="shared" si="38"/>
        <v>86258212.474602267</v>
      </c>
      <c r="CT62" s="493">
        <f>+CQ$29*CS62+CR62</f>
        <v>11726034.789992582</v>
      </c>
      <c r="CU62" s="492">
        <f>+CU61</f>
        <v>29752596.390000001</v>
      </c>
      <c r="CV62" s="476">
        <f>+CV61</f>
        <v>676195.37250000006</v>
      </c>
      <c r="CW62" s="476">
        <f t="shared" si="39"/>
        <v>29076401.017500002</v>
      </c>
      <c r="CX62" s="493">
        <f>+CU$29*CW62+CV62</f>
        <v>3948723.0745567516</v>
      </c>
      <c r="CY62" s="492">
        <f>+CY61</f>
        <v>32283.850000000057</v>
      </c>
      <c r="CZ62" s="476">
        <f>+CZ61</f>
        <v>366.86193181818248</v>
      </c>
      <c r="DA62" s="476">
        <f t="shared" si="40"/>
        <v>31916.988068181876</v>
      </c>
      <c r="DB62" s="493">
        <f>+(((CY$29*DA62)*(12-CY$32)/12))+CZ62</f>
        <v>2162.9787819826147</v>
      </c>
      <c r="DC62" s="492">
        <f>+DC61</f>
        <v>1959349.5999999999</v>
      </c>
      <c r="DD62" s="476">
        <f>+DD61</f>
        <v>33398.00454545454</v>
      </c>
      <c r="DE62" s="476">
        <f t="shared" si="41"/>
        <v>1925951.5954545452</v>
      </c>
      <c r="DF62" s="493">
        <f>+(((DC$29*DE62)*(12-DC$32)/12))+DD62</f>
        <v>195971.33880590906</v>
      </c>
      <c r="DG62" s="492">
        <f>+DG61</f>
        <v>1084136.8699999999</v>
      </c>
      <c r="DH62" s="476">
        <f>+DH61</f>
        <v>12319.73715909091</v>
      </c>
      <c r="DI62" s="476">
        <f t="shared" si="42"/>
        <v>1071817.1328409091</v>
      </c>
      <c r="DJ62" s="493">
        <f>+(((DG$29*DI62)*(12-DG$32)/12))+DH62</f>
        <v>72635.854973153444</v>
      </c>
      <c r="DK62" s="492">
        <f>+DK61</f>
        <v>24184987.59</v>
      </c>
      <c r="DL62" s="476">
        <f>+DL61</f>
        <v>458049.00738636358</v>
      </c>
      <c r="DM62" s="476">
        <f t="shared" si="43"/>
        <v>23726938.582613636</v>
      </c>
      <c r="DN62" s="493">
        <f>+(((DK$29*DM62)*(12-DK$32)/12))+DL62</f>
        <v>2683423.6835102933</v>
      </c>
      <c r="DR62" s="493"/>
      <c r="DV62" s="493"/>
      <c r="DZ62" s="493"/>
      <c r="ED62" s="493"/>
      <c r="EH62" s="493"/>
      <c r="EL62" s="493"/>
      <c r="EP62" s="493"/>
      <c r="ET62" s="493"/>
      <c r="EX62" s="493"/>
      <c r="EY62" s="582">
        <f t="shared" si="3"/>
        <v>43327394.493617073</v>
      </c>
      <c r="EZ62" s="579">
        <f>+EY62</f>
        <v>43327394.493617073</v>
      </c>
      <c r="FA62" s="553"/>
      <c r="FB62" s="758"/>
      <c r="FD62" s="492">
        <f>+FD61</f>
        <v>9106773.6333333347</v>
      </c>
      <c r="FE62" s="476">
        <f>+FE61</f>
        <v>1270712.6000000001</v>
      </c>
      <c r="FF62" s="476">
        <f t="shared" si="24"/>
        <v>7836061.0333333351</v>
      </c>
      <c r="FG62" s="493">
        <f t="shared" ref="FG62:FG76" si="44">+FD$29*FF62+FE62</f>
        <v>2306123.5280957925</v>
      </c>
      <c r="FH62" s="492">
        <f>+FH61</f>
        <v>7155235.1999999993</v>
      </c>
      <c r="FI62" s="476">
        <f>+FI61</f>
        <v>894404.4</v>
      </c>
      <c r="FJ62" s="476">
        <f t="shared" si="25"/>
        <v>6260830.7999999989</v>
      </c>
      <c r="FK62" s="493">
        <f t="shared" ref="FK62:FK76" si="45">+FH$29*FJ62+FI62</f>
        <v>1721673.6876820482</v>
      </c>
      <c r="FL62" s="492">
        <f>+FL61</f>
        <v>1111963.8454166665</v>
      </c>
      <c r="FM62" s="476">
        <f>+FM61</f>
        <v>140458.59099999999</v>
      </c>
      <c r="FN62" s="476">
        <f t="shared" si="26"/>
        <v>971505.25441666646</v>
      </c>
      <c r="FO62" s="493">
        <f t="shared" ref="FO62:FO76" si="46">+FL$29*FN62+FM62</f>
        <v>268827.57036942214</v>
      </c>
      <c r="FP62" s="492">
        <f>+FP61</f>
        <v>135682.40000000002</v>
      </c>
      <c r="FQ62" s="476">
        <f>+FQ61</f>
        <v>16960.3</v>
      </c>
      <c r="FR62" s="476">
        <f t="shared" si="27"/>
        <v>118722.10000000002</v>
      </c>
      <c r="FS62" s="493">
        <f t="shared" ref="FS62:FS76" si="47">+FP$29*FR62+FQ62</f>
        <v>32647.538680706228</v>
      </c>
      <c r="FT62" s="492">
        <f>+FT61</f>
        <v>10239.252333333334</v>
      </c>
      <c r="FU62" s="476">
        <f>+FU61</f>
        <v>1253.7860000000001</v>
      </c>
      <c r="FV62" s="476">
        <f t="shared" si="32"/>
        <v>8985.4663333333338</v>
      </c>
      <c r="FW62" s="493">
        <f t="shared" ref="FW62:FW74" si="48">+FT$29*FV62+FU62</f>
        <v>2441.0725711476653</v>
      </c>
      <c r="FX62" s="492">
        <f>+FX61</f>
        <v>33274394.834999997</v>
      </c>
      <c r="FY62" s="476">
        <f>+FY61</f>
        <v>4033259.9799999995</v>
      </c>
      <c r="FZ62" s="476">
        <f t="shared" si="28"/>
        <v>29241134.854999997</v>
      </c>
      <c r="GA62" s="493">
        <f t="shared" ref="GA62:GA74" si="49">+FX$29*FZ62+FY62</f>
        <v>7897011.2256830102</v>
      </c>
      <c r="GB62" s="492">
        <f>+GB61</f>
        <v>455374.51883333339</v>
      </c>
      <c r="GC62" s="476">
        <f>+GC61</f>
        <v>53053.342000000004</v>
      </c>
      <c r="GD62" s="476">
        <f t="shared" si="29"/>
        <v>402321.17683333339</v>
      </c>
      <c r="GE62" s="493">
        <f t="shared" ref="GE62:GE74" si="50">+GB$29*GD62+GC62</f>
        <v>106213.69148242255</v>
      </c>
      <c r="GF62" s="492">
        <f>+GF61</f>
        <v>-462699.12349999975</v>
      </c>
      <c r="GG62" s="476">
        <f>+GG61</f>
        <v>-53906.693999999974</v>
      </c>
      <c r="GH62" s="476">
        <f t="shared" si="30"/>
        <v>-408792.42949999979</v>
      </c>
      <c r="GI62" s="493">
        <f t="shared" ref="GI62:GI76" si="51">+GF$29*GH62+GG62</f>
        <v>-107922.11667557823</v>
      </c>
      <c r="GJ62" s="492">
        <f>+GJ61</f>
        <v>29393117.633833334</v>
      </c>
      <c r="GK62" s="476">
        <f>+GK61</f>
        <v>3327522.7509999997</v>
      </c>
      <c r="GL62" s="476">
        <f t="shared" si="31"/>
        <v>26065594.882833336</v>
      </c>
      <c r="GM62" s="493">
        <f t="shared" ref="GM62:GM76" si="52">+GJ$29*GL62+GK62</f>
        <v>6771676.8577888906</v>
      </c>
      <c r="GN62" s="492">
        <f>+GN61</f>
        <v>443921.41275000002</v>
      </c>
      <c r="GO62" s="476">
        <f>+GO61</f>
        <v>49785.578999999998</v>
      </c>
      <c r="GP62" s="476">
        <f t="shared" si="36"/>
        <v>394135.83374999999</v>
      </c>
      <c r="GQ62" s="493">
        <f t="shared" ref="GQ62:GQ76" si="53">+GN$29*GP62+GO62</f>
        <v>101864.36548251167</v>
      </c>
      <c r="GR62" s="492">
        <f>+GR61</f>
        <v>1668258.8145000001</v>
      </c>
      <c r="GS62" s="476">
        <f>+GS61</f>
        <v>175606.19100000002</v>
      </c>
      <c r="GT62" s="476">
        <f t="shared" si="37"/>
        <v>1492652.6235</v>
      </c>
      <c r="GU62" s="493">
        <f t="shared" ref="GU62:GU76" si="54">+GR$29*GT62+GS62</f>
        <v>372836.5126690644</v>
      </c>
      <c r="GV62" s="492">
        <f>+GV61</f>
        <v>36868090.68999999</v>
      </c>
      <c r="GW62" s="476">
        <f>+GW61</f>
        <v>2150638.6235833326</v>
      </c>
      <c r="GX62" s="476">
        <f t="shared" ref="GX62:GX76" si="55">+GV62-GW62</f>
        <v>34717452.066416658</v>
      </c>
      <c r="GY62" s="493">
        <f>+(((GV$29*GX62)*(12-GV$32)/12))+GW62</f>
        <v>4826598.3498846348</v>
      </c>
      <c r="HC62" s="493"/>
      <c r="HG62" s="918"/>
      <c r="HH62" s="554"/>
      <c r="HI62" s="557"/>
      <c r="HJ62" s="557"/>
      <c r="HK62" s="918"/>
      <c r="HL62" s="554"/>
      <c r="HM62" s="557"/>
      <c r="HN62" s="557"/>
      <c r="HO62" s="918"/>
      <c r="HP62" s="554"/>
      <c r="HQ62" s="557"/>
      <c r="HR62" s="557"/>
      <c r="HS62" s="918"/>
      <c r="HT62" s="554"/>
      <c r="HU62" s="557"/>
      <c r="HV62" s="557"/>
      <c r="HW62" s="918"/>
      <c r="HY62" s="492"/>
      <c r="HZ62" s="476"/>
      <c r="IA62" s="476"/>
      <c r="IB62" s="493"/>
      <c r="IC62" s="492">
        <f>+IC61</f>
        <v>1159350</v>
      </c>
      <c r="ID62" s="476">
        <f>+ID61</f>
        <v>1159350</v>
      </c>
      <c r="IE62" s="476">
        <f>+IE61</f>
        <v>579675</v>
      </c>
      <c r="IF62" s="493">
        <f>+IC$29*IE62+ID62</f>
        <v>1210067.3363463925</v>
      </c>
      <c r="IG62" s="492">
        <f>+IG61</f>
        <v>0</v>
      </c>
      <c r="IH62" s="476">
        <f>+IH61</f>
        <v>0</v>
      </c>
      <c r="II62" s="476">
        <f>+II61</f>
        <v>0</v>
      </c>
      <c r="IJ62" s="493">
        <f>+IG$29*II62+IH62</f>
        <v>0</v>
      </c>
    </row>
    <row r="63" spans="1:244">
      <c r="A63" s="554" t="s">
        <v>24</v>
      </c>
      <c r="B63" s="574">
        <f t="shared" si="0"/>
        <v>2018</v>
      </c>
      <c r="C63" s="575">
        <f>+E62</f>
        <v>15491271.447159089</v>
      </c>
      <c r="D63" s="575">
        <f>+C$31</f>
        <v>445791.98409090913</v>
      </c>
      <c r="E63" s="575">
        <f t="shared" si="6"/>
        <v>15045479.46306818</v>
      </c>
      <c r="F63" s="558">
        <f>+C$28*E63+D63</f>
        <v>2139149.7109974404</v>
      </c>
      <c r="G63" s="575">
        <f>+I62</f>
        <v>3996505.8593181791</v>
      </c>
      <c r="H63" s="575">
        <f>+G$31</f>
        <v>115840.74954545456</v>
      </c>
      <c r="I63" s="575">
        <f t="shared" si="7"/>
        <v>3880665.1097727246</v>
      </c>
      <c r="J63" s="558">
        <f>+G$28*I63+H63</f>
        <v>552606.77387195011</v>
      </c>
      <c r="K63" s="576">
        <f>+M62</f>
        <v>10307916.938352268</v>
      </c>
      <c r="L63" s="575">
        <f>+K$31</f>
        <v>305419.76113636367</v>
      </c>
      <c r="M63" s="575">
        <f t="shared" si="8"/>
        <v>10002497.177215904</v>
      </c>
      <c r="N63" s="558">
        <f>+K$28*M63+L63</f>
        <v>1431193.5143076198</v>
      </c>
      <c r="O63" s="576">
        <f>+Q62</f>
        <v>4275501.4015151504</v>
      </c>
      <c r="P63" s="575">
        <f>+O$31</f>
        <v>119316.31818181818</v>
      </c>
      <c r="Q63" s="575">
        <f t="shared" si="11"/>
        <v>4156185.0833333321</v>
      </c>
      <c r="R63" s="558">
        <f>+O$28*Q63+P63</f>
        <v>587091.91433958558</v>
      </c>
      <c r="S63" s="492">
        <f>+U62</f>
        <v>1992453.2696969681</v>
      </c>
      <c r="T63" s="476">
        <f>+S$31</f>
        <v>58315.705454545445</v>
      </c>
      <c r="U63" s="476">
        <f t="shared" si="12"/>
        <v>1934137.5642424226</v>
      </c>
      <c r="V63" s="493">
        <f>+S$28*U63+T63</f>
        <v>276001.47594458633</v>
      </c>
      <c r="W63" s="492">
        <f>+Y62</f>
        <v>24843021.155303031</v>
      </c>
      <c r="X63" s="476">
        <f>+W$31</f>
        <v>693293.61363636365</v>
      </c>
      <c r="Y63" s="476">
        <f t="shared" si="13"/>
        <v>24149727.541666668</v>
      </c>
      <c r="Z63" s="493">
        <f>+W$28*Y63+X63</f>
        <v>3411327.8135932796</v>
      </c>
      <c r="AA63" s="492">
        <f>+AC62</f>
        <v>16192429.19507575</v>
      </c>
      <c r="AB63" s="476">
        <f>+AA$31</f>
        <v>450833.29545454547</v>
      </c>
      <c r="AC63" s="476">
        <f t="shared" si="14"/>
        <v>15741595.899621205</v>
      </c>
      <c r="AD63" s="493">
        <f>+AA$28*AC63+AB63</f>
        <v>2222538.418969953</v>
      </c>
      <c r="AE63" s="492">
        <f>+AG62</f>
        <v>163224.965909091</v>
      </c>
      <c r="AF63" s="476">
        <f>+AE$31</f>
        <v>4597.886363636364</v>
      </c>
      <c r="AG63" s="476">
        <f t="shared" si="15"/>
        <v>158627.07954545465</v>
      </c>
      <c r="AH63" s="493">
        <f>+AE$28*AG63+AF63</f>
        <v>22451.248332211027</v>
      </c>
      <c r="AI63" s="492">
        <f>+AK62</f>
        <v>10885997.071969697</v>
      </c>
      <c r="AJ63" s="476">
        <f>+AI$31</f>
        <v>295547.43181818182</v>
      </c>
      <c r="AK63" s="476">
        <f t="shared" si="19"/>
        <v>10590449.640151516</v>
      </c>
      <c r="AL63" s="493">
        <f>+AI$28*AK63+AJ63</f>
        <v>1487494.8053522622</v>
      </c>
      <c r="AM63" s="492">
        <f>+AO62</f>
        <v>4046642.4223863622</v>
      </c>
      <c r="AN63" s="476">
        <f>+AM$31</f>
        <v>110866.91568181818</v>
      </c>
      <c r="AO63" s="476">
        <f t="shared" si="16"/>
        <v>3935775.5067045442</v>
      </c>
      <c r="AP63" s="493">
        <f>+AM$28*AO63+AN63</f>
        <v>553835.57493971998</v>
      </c>
      <c r="AQ63" s="492">
        <f>+AS62</f>
        <v>33256259.719772737</v>
      </c>
      <c r="AR63" s="476">
        <f>+AQ$31</f>
        <v>904932.23727272719</v>
      </c>
      <c r="AS63" s="476">
        <f t="shared" si="17"/>
        <v>32351327.482500009</v>
      </c>
      <c r="AT63" s="493">
        <f>+AQ$28*AS63+AR63</f>
        <v>4546050.521515389</v>
      </c>
      <c r="AU63" s="576">
        <f>+AW62</f>
        <v>22375000</v>
      </c>
      <c r="AV63" s="575">
        <f>+AU$31</f>
        <v>750000</v>
      </c>
      <c r="AW63" s="575">
        <f t="shared" si="1"/>
        <v>21625000</v>
      </c>
      <c r="AX63" s="558">
        <f>+AU$28*AW63+AV63</f>
        <v>750000</v>
      </c>
      <c r="AY63" s="576">
        <f>+BA62</f>
        <v>14583333.333333332</v>
      </c>
      <c r="AZ63" s="575">
        <f>+AY$31</f>
        <v>500000</v>
      </c>
      <c r="BA63" s="575">
        <f t="shared" si="2"/>
        <v>14083333.333333332</v>
      </c>
      <c r="BB63" s="558">
        <f>+AY$28*BA63+AZ63</f>
        <v>500000</v>
      </c>
      <c r="BC63" s="576">
        <f>+BE62</f>
        <v>22750000</v>
      </c>
      <c r="BD63" s="575">
        <f>+BC$31</f>
        <v>750000</v>
      </c>
      <c r="BE63" s="575">
        <f t="shared" si="4"/>
        <v>22000000</v>
      </c>
      <c r="BF63" s="558">
        <f>+BC$28*BE63+BD63</f>
        <v>750000</v>
      </c>
      <c r="BG63" s="576">
        <f>+BI62</f>
        <v>14809523.809523813</v>
      </c>
      <c r="BH63" s="575">
        <f>+BG$31</f>
        <v>571428.57142857148</v>
      </c>
      <c r="BI63" s="575">
        <f t="shared" si="5"/>
        <v>14238095.238095243</v>
      </c>
      <c r="BJ63" s="558">
        <f>+BG$28*BI63+BH63</f>
        <v>571428.57142857148</v>
      </c>
      <c r="BK63" s="576">
        <f>+BM62</f>
        <v>20000000</v>
      </c>
      <c r="BL63" s="575">
        <f>+BK$31</f>
        <v>1200000</v>
      </c>
      <c r="BM63" s="575">
        <f t="shared" si="9"/>
        <v>18800000</v>
      </c>
      <c r="BN63" s="558">
        <f>+BK$28*BM63+BL63</f>
        <v>1200000</v>
      </c>
      <c r="BO63" s="576">
        <f>+BQ62</f>
        <v>14499999.999999996</v>
      </c>
      <c r="BP63" s="575">
        <f>+BO$31</f>
        <v>666666.66666666663</v>
      </c>
      <c r="BQ63" s="575">
        <f t="shared" si="10"/>
        <v>13833333.33333333</v>
      </c>
      <c r="BR63" s="558">
        <f>+BO$28*BQ63+BP63</f>
        <v>666666.66666666663</v>
      </c>
      <c r="BS63" s="492">
        <f>+BU62</f>
        <v>307502.79545454553</v>
      </c>
      <c r="BT63" s="476">
        <f>+BS$31</f>
        <v>8310.886363636364</v>
      </c>
      <c r="BU63" s="476">
        <f t="shared" si="18"/>
        <v>299191.90909090918</v>
      </c>
      <c r="BV63" s="493">
        <f>+BS$28*BU63+BT63</f>
        <v>41984.717252884089</v>
      </c>
      <c r="BW63" s="492">
        <f>+BY62</f>
        <v>21631546.022727277</v>
      </c>
      <c r="BX63" s="476">
        <f>+BW$31</f>
        <v>576841.22727272729</v>
      </c>
      <c r="BY63" s="476">
        <f t="shared" si="20"/>
        <v>21054704.795454551</v>
      </c>
      <c r="BZ63" s="493">
        <f>+BW$28*BY63+BX63</f>
        <v>2946532.8772222018</v>
      </c>
      <c r="CA63" s="492">
        <f>+CC62</f>
        <v>2045808.1600000006</v>
      </c>
      <c r="CB63" s="476">
        <f>+CA$31</f>
        <v>54433.919999999998</v>
      </c>
      <c r="CC63" s="476">
        <f t="shared" si="21"/>
        <v>1991374.2400000007</v>
      </c>
      <c r="CD63" s="493">
        <f>+CA$28*CC63+CB63</f>
        <v>278561.63655061356</v>
      </c>
      <c r="CE63" s="492">
        <f>+CG62</f>
        <v>176007.33363636368</v>
      </c>
      <c r="CF63" s="476">
        <f>+CE$31</f>
        <v>4725.0290909090909</v>
      </c>
      <c r="CG63" s="476">
        <f t="shared" si="22"/>
        <v>171282.30454545459</v>
      </c>
      <c r="CH63" s="493">
        <f>+CE$28*CG63+CF63</f>
        <v>24002.727392007684</v>
      </c>
      <c r="CI63" s="492">
        <f>+CK62</f>
        <v>471844.09090909082</v>
      </c>
      <c r="CJ63" s="476">
        <f>+CI$31</f>
        <v>12362.727272727272</v>
      </c>
      <c r="CK63" s="476">
        <f t="shared" si="23"/>
        <v>459481.36363636353</v>
      </c>
      <c r="CL63" s="493">
        <f>+CI$28*CK63+CJ63</f>
        <v>64077.019222883384</v>
      </c>
      <c r="CM63" s="492">
        <f>+CO62</f>
        <v>20677817.988920454</v>
      </c>
      <c r="CN63" s="476">
        <f>+CM$31</f>
        <v>483691.64886363636</v>
      </c>
      <c r="CO63" s="476">
        <f t="shared" si="33"/>
        <v>20194126.340056818</v>
      </c>
      <c r="CP63" s="493">
        <f>+CM$28*CO63+CN63</f>
        <v>2756525.822078377</v>
      </c>
      <c r="CQ63" s="492">
        <f>+CS62</f>
        <v>86258212.474602267</v>
      </c>
      <c r="CR63" s="476">
        <f>+CQ$31</f>
        <v>2017735.9643181816</v>
      </c>
      <c r="CS63" s="476">
        <f t="shared" si="38"/>
        <v>84240476.510284081</v>
      </c>
      <c r="CT63" s="493">
        <f>+CQ$28*CS63+CR63</f>
        <v>11498940.08062008</v>
      </c>
      <c r="CU63" s="492">
        <f>+CW62</f>
        <v>29076401.017500002</v>
      </c>
      <c r="CV63" s="476">
        <f>+CU$31</f>
        <v>676195.37250000006</v>
      </c>
      <c r="CW63" s="476">
        <f t="shared" si="39"/>
        <v>28400205.645000003</v>
      </c>
      <c r="CX63" s="493">
        <f>+CU$28*CW63+CV63</f>
        <v>3872617.7791600833</v>
      </c>
      <c r="CY63" s="492">
        <f>+DA62</f>
        <v>31916.988068181876</v>
      </c>
      <c r="CZ63" s="476">
        <f>+CY$31</f>
        <v>733.72386363636497</v>
      </c>
      <c r="DA63" s="476">
        <f t="shared" si="40"/>
        <v>31183.26420454551</v>
      </c>
      <c r="DB63" s="493">
        <f>+CY$28*DA63+CZ63</f>
        <v>4243.3774789001982</v>
      </c>
      <c r="DC63" s="492">
        <f>+DE62</f>
        <v>1925951.5954545452</v>
      </c>
      <c r="DD63" s="476">
        <f>+DC$31</f>
        <v>44530.672727272722</v>
      </c>
      <c r="DE63" s="476">
        <f t="shared" si="41"/>
        <v>1881420.9227272726</v>
      </c>
      <c r="DF63" s="493">
        <f>+DC$28*DE63+DD63</f>
        <v>256283.22371006131</v>
      </c>
      <c r="DG63" s="492">
        <f>+DI62</f>
        <v>1071817.1328409091</v>
      </c>
      <c r="DH63" s="476">
        <f>+DG$31</f>
        <v>24639.474318181816</v>
      </c>
      <c r="DI63" s="476">
        <f t="shared" si="42"/>
        <v>1047177.6585227272</v>
      </c>
      <c r="DJ63" s="493">
        <f>+DG$28*DI63+DH63</f>
        <v>142498.55510428103</v>
      </c>
      <c r="DK63" s="492">
        <f>+DM62</f>
        <v>23726938.582613636</v>
      </c>
      <c r="DL63" s="476">
        <f>+DK$31</f>
        <v>549658.80886363634</v>
      </c>
      <c r="DM63" s="476">
        <f t="shared" si="43"/>
        <v>23177279.77375</v>
      </c>
      <c r="DN63" s="493">
        <f>+DK$28*DM63+DL63</f>
        <v>3158244.7226521503</v>
      </c>
      <c r="DO63" s="492">
        <f>+DO30</f>
        <v>862078.96999999951</v>
      </c>
      <c r="DP63" s="476">
        <f>+DO$31/12*(12-$DO$32)</f>
        <v>16327.253219696961</v>
      </c>
      <c r="DQ63" s="476">
        <f>+DO63-DP63</f>
        <v>845751.71678030258</v>
      </c>
      <c r="DR63" s="493">
        <f>+(((DO$28*DQ63)*(12-DO$32)/12))+DP63</f>
        <v>95651.20166159069</v>
      </c>
      <c r="DS63" s="492">
        <f>+DS30</f>
        <v>365013.11999999866</v>
      </c>
      <c r="DT63" s="476">
        <f>+DS$31/12*(12-DS$32)</f>
        <v>4147.8763636363483</v>
      </c>
      <c r="DU63" s="476">
        <f>+DS63-DT63</f>
        <v>360865.24363636231</v>
      </c>
      <c r="DV63" s="493">
        <f>+(((DS$28*DU63)*(12-DS$32)/12))+DT63</f>
        <v>24455.436191943329</v>
      </c>
      <c r="DW63" s="492">
        <f>+DW30</f>
        <v>53757.59</v>
      </c>
      <c r="DX63" s="476">
        <f>+DW$31/12*(12-DW$32)</f>
        <v>916.32255681818174</v>
      </c>
      <c r="DY63" s="476">
        <f>+DW63-DX63</f>
        <v>52841.267443181816</v>
      </c>
      <c r="DZ63" s="493">
        <f>+(((DW$28*DY63)*(12-DW$32)/12))+DX63</f>
        <v>5376.757105153235</v>
      </c>
      <c r="EA63" s="492">
        <f>+EA30</f>
        <v>-313293.270000002</v>
      </c>
      <c r="EB63" s="476">
        <f>+EA$31/12*(12-EA$32)</f>
        <v>-593.35846590909466</v>
      </c>
      <c r="EC63" s="476">
        <f>+EA63-EB63</f>
        <v>-312699.91153409291</v>
      </c>
      <c r="ED63" s="493">
        <f>+(((EA$28*EC63)*(12-EA$32)/12))+EB63</f>
        <v>-3526.2040242656144</v>
      </c>
      <c r="EE63" s="492"/>
      <c r="EF63" s="476"/>
      <c r="EG63" s="476"/>
      <c r="EH63" s="493"/>
      <c r="EI63" s="492"/>
      <c r="EJ63" s="476"/>
      <c r="EK63" s="476"/>
      <c r="EL63" s="493"/>
      <c r="EM63" s="492"/>
      <c r="EN63" s="476"/>
      <c r="EO63" s="476"/>
      <c r="EP63" s="493"/>
      <c r="EQ63" s="492"/>
      <c r="ER63" s="476"/>
      <c r="ES63" s="476"/>
      <c r="ET63" s="493"/>
      <c r="EU63" s="492"/>
      <c r="EV63" s="476"/>
      <c r="EW63" s="476"/>
      <c r="EX63" s="493"/>
      <c r="EY63" s="582">
        <f t="shared" si="3"/>
        <v>42396211.501542948</v>
      </c>
      <c r="EZ63" s="557"/>
      <c r="FA63" s="578">
        <f>+EY63</f>
        <v>42396211.501542948</v>
      </c>
      <c r="FD63" s="492">
        <f>+FF62</f>
        <v>7836061.0333333351</v>
      </c>
      <c r="FE63" s="476">
        <f>+FE62</f>
        <v>1270712.6000000001</v>
      </c>
      <c r="FF63" s="476">
        <f t="shared" si="24"/>
        <v>6565348.4333333354</v>
      </c>
      <c r="FG63" s="493">
        <f t="shared" si="44"/>
        <v>2138219.0532694478</v>
      </c>
      <c r="FH63" s="492">
        <f>+FJ62</f>
        <v>6260830.7999999989</v>
      </c>
      <c r="FI63" s="476">
        <f>+FI62</f>
        <v>894404.4</v>
      </c>
      <c r="FJ63" s="476">
        <f t="shared" si="25"/>
        <v>5366426.3999999985</v>
      </c>
      <c r="FK63" s="493">
        <f t="shared" si="45"/>
        <v>1603492.3608703269</v>
      </c>
      <c r="FL63" s="492">
        <f>+FN62</f>
        <v>971505.25441666646</v>
      </c>
      <c r="FM63" s="476">
        <f>+FM62</f>
        <v>140458.59099999999</v>
      </c>
      <c r="FN63" s="476">
        <f t="shared" si="26"/>
        <v>831046.66341666644</v>
      </c>
      <c r="FO63" s="493">
        <f t="shared" si="46"/>
        <v>250268.19985818036</v>
      </c>
      <c r="FP63" s="492">
        <f>+FR62</f>
        <v>118722.10000000002</v>
      </c>
      <c r="FQ63" s="476">
        <f>+FQ62</f>
        <v>16960.3</v>
      </c>
      <c r="FR63" s="476">
        <f t="shared" si="27"/>
        <v>101761.80000000002</v>
      </c>
      <c r="FS63" s="493">
        <f t="shared" si="47"/>
        <v>30406.504583462483</v>
      </c>
      <c r="FT63" s="492">
        <f>+FV62</f>
        <v>8985.4663333333338</v>
      </c>
      <c r="FU63" s="476">
        <f>+FU62</f>
        <v>1253.7860000000001</v>
      </c>
      <c r="FV63" s="476">
        <f t="shared" si="32"/>
        <v>7731.6803333333337</v>
      </c>
      <c r="FW63" s="493">
        <f t="shared" si="48"/>
        <v>2275.4046774991539</v>
      </c>
      <c r="FX63" s="492">
        <f>+FZ62</f>
        <v>29241134.854999997</v>
      </c>
      <c r="FY63" s="476">
        <f>+FY62</f>
        <v>4033259.9799999995</v>
      </c>
      <c r="FZ63" s="476">
        <f t="shared" si="28"/>
        <v>25207874.874999996</v>
      </c>
      <c r="GA63" s="493">
        <f t="shared" si="49"/>
        <v>7364080.019381905</v>
      </c>
      <c r="GB63" s="492">
        <f>+GD62</f>
        <v>402321.17683333339</v>
      </c>
      <c r="GC63" s="476">
        <f>+GC62</f>
        <v>53053.342000000004</v>
      </c>
      <c r="GD63" s="476">
        <f t="shared" si="29"/>
        <v>349267.83483333339</v>
      </c>
      <c r="GE63" s="493">
        <f t="shared" si="50"/>
        <v>99203.535506718472</v>
      </c>
      <c r="GF63" s="492">
        <f>+GH62</f>
        <v>-408792.42949999979</v>
      </c>
      <c r="GG63" s="476">
        <f>+GG62</f>
        <v>-53906.693999999974</v>
      </c>
      <c r="GH63" s="476">
        <f t="shared" si="30"/>
        <v>-354885.73549999984</v>
      </c>
      <c r="GI63" s="493">
        <f t="shared" si="51"/>
        <v>-100799.2037952822</v>
      </c>
      <c r="GJ63" s="492">
        <f>+GL62</f>
        <v>26065594.882833336</v>
      </c>
      <c r="GK63" s="476">
        <f>+GK62</f>
        <v>3327522.7509999997</v>
      </c>
      <c r="GL63" s="476">
        <f t="shared" si="31"/>
        <v>22738072.131833337</v>
      </c>
      <c r="GM63" s="493">
        <f t="shared" si="52"/>
        <v>6331997.610113713</v>
      </c>
      <c r="GN63" s="492">
        <f>+GP62</f>
        <v>394135.83374999999</v>
      </c>
      <c r="GO63" s="476">
        <f>+GO62</f>
        <v>49785.578999999998</v>
      </c>
      <c r="GP63" s="476">
        <f t="shared" si="36"/>
        <v>344350.25474999996</v>
      </c>
      <c r="GQ63" s="493">
        <f t="shared" si="53"/>
        <v>95285.992453141764</v>
      </c>
      <c r="GR63" s="492">
        <f>+GT62</f>
        <v>1492652.6235</v>
      </c>
      <c r="GS63" s="476">
        <f>+GS62</f>
        <v>175606.19100000002</v>
      </c>
      <c r="GT63" s="476">
        <f t="shared" si="37"/>
        <v>1317046.4324999999</v>
      </c>
      <c r="GU63" s="493">
        <f t="shared" si="54"/>
        <v>349632.94541388034</v>
      </c>
      <c r="GV63" s="492">
        <f>+GX62</f>
        <v>34717452.066416658</v>
      </c>
      <c r="GW63" s="476">
        <f>+GV31</f>
        <v>3686809.0689999992</v>
      </c>
      <c r="GX63" s="476">
        <f t="shared" si="55"/>
        <v>31030642.99741666</v>
      </c>
      <c r="GY63" s="493">
        <f t="shared" ref="GY63:GY76" si="56">+GV$29*GX63+GW63</f>
        <v>7787015.3752922602</v>
      </c>
      <c r="GZ63" s="492">
        <f>+GZ30</f>
        <v>80280476.510000005</v>
      </c>
      <c r="HA63" s="476">
        <f>+GZ$31/12*(12-$GZ$32)</f>
        <v>2676015.8836666667</v>
      </c>
      <c r="HB63" s="476">
        <f>+GZ63-HA63</f>
        <v>77604460.626333341</v>
      </c>
      <c r="HC63" s="493">
        <f>+(((GZ$28*HB63)*(12-GZ$32)/12))+HA63</f>
        <v>6094081.255187666</v>
      </c>
      <c r="HD63" s="576"/>
      <c r="HE63" s="580"/>
      <c r="HF63" s="580"/>
      <c r="HG63" s="918"/>
      <c r="HH63" s="576"/>
      <c r="HI63" s="575"/>
      <c r="HJ63" s="575"/>
      <c r="HK63" s="918"/>
      <c r="HL63" s="576"/>
      <c r="HM63" s="575"/>
      <c r="HN63" s="575"/>
      <c r="HO63" s="918"/>
      <c r="HP63" s="576"/>
      <c r="HQ63" s="575"/>
      <c r="HR63" s="575"/>
      <c r="HS63" s="918"/>
      <c r="HT63" s="576"/>
      <c r="HU63" s="575"/>
      <c r="HV63" s="575"/>
      <c r="HW63" s="918"/>
      <c r="HX63" s="580"/>
      <c r="HY63" s="492"/>
      <c r="HZ63" s="476"/>
      <c r="IA63" s="476"/>
      <c r="IB63" s="493"/>
      <c r="IC63" s="492"/>
      <c r="ID63" s="476"/>
      <c r="IE63" s="476"/>
      <c r="IF63" s="493"/>
      <c r="IG63" s="492"/>
      <c r="IH63" s="476"/>
      <c r="II63" s="476"/>
      <c r="IJ63" s="493"/>
    </row>
    <row r="64" spans="1:244" ht="13">
      <c r="A64" s="554" t="s">
        <v>23</v>
      </c>
      <c r="B64" s="574">
        <f t="shared" si="0"/>
        <v>2018</v>
      </c>
      <c r="C64" s="575">
        <f>+C63</f>
        <v>15491271.447159089</v>
      </c>
      <c r="D64" s="575">
        <f>+D63</f>
        <v>445791.98409090913</v>
      </c>
      <c r="E64" s="575">
        <f t="shared" si="6"/>
        <v>15045479.46306818</v>
      </c>
      <c r="F64" s="558">
        <f>+C$29*E64+D64</f>
        <v>2237220.145029231</v>
      </c>
      <c r="G64" s="575">
        <f>+G63</f>
        <v>3996505.8593181791</v>
      </c>
      <c r="H64" s="575">
        <f>+H63</f>
        <v>115840.74954545456</v>
      </c>
      <c r="I64" s="575">
        <f t="shared" si="7"/>
        <v>3880665.1097727246</v>
      </c>
      <c r="J64" s="558">
        <f>+G$29*I64+H64</f>
        <v>577901.98048744118</v>
      </c>
      <c r="K64" s="576">
        <f>+K63</f>
        <v>10307916.938352268</v>
      </c>
      <c r="L64" s="575">
        <f>+L63</f>
        <v>305419.76113636367</v>
      </c>
      <c r="M64" s="575">
        <f t="shared" si="8"/>
        <v>10002497.177215904</v>
      </c>
      <c r="N64" s="558">
        <f>+K$29*M64+L64</f>
        <v>1496392.449441541</v>
      </c>
      <c r="O64" s="576">
        <f>+O63</f>
        <v>4275501.4015151504</v>
      </c>
      <c r="P64" s="575">
        <f>+P63</f>
        <v>119316.31818181818</v>
      </c>
      <c r="Q64" s="575">
        <f t="shared" si="11"/>
        <v>4156185.0833333321</v>
      </c>
      <c r="R64" s="558">
        <f>+O$29*Q64+P64</f>
        <v>614183.03337234748</v>
      </c>
      <c r="S64" s="492">
        <f>+S63</f>
        <v>1992453.2696969681</v>
      </c>
      <c r="T64" s="476">
        <f>+T63</f>
        <v>58315.705454545445</v>
      </c>
      <c r="U64" s="476">
        <f t="shared" si="12"/>
        <v>1934137.5642424226</v>
      </c>
      <c r="V64" s="493">
        <f>+S$29*U64+T64</f>
        <v>288608.69865676726</v>
      </c>
      <c r="W64" s="492">
        <f>+W63</f>
        <v>24843021.155303031</v>
      </c>
      <c r="X64" s="476">
        <f>+X63</f>
        <v>693293.61363636365</v>
      </c>
      <c r="Y64" s="476">
        <f t="shared" si="13"/>
        <v>24149727.541666668</v>
      </c>
      <c r="Z64" s="493">
        <f>+W$29*Y64+X64</f>
        <v>3568742.1563913496</v>
      </c>
      <c r="AA64" s="492">
        <f>+AA63</f>
        <v>16192429.19507575</v>
      </c>
      <c r="AB64" s="476">
        <f>+AB63</f>
        <v>450833.29545454547</v>
      </c>
      <c r="AC64" s="476">
        <f t="shared" si="14"/>
        <v>15741595.899621205</v>
      </c>
      <c r="AD64" s="493">
        <f>+AA$29*AC64+AB64</f>
        <v>2325146.3249538341</v>
      </c>
      <c r="AE64" s="492">
        <f>+AE63</f>
        <v>163224.965909091</v>
      </c>
      <c r="AF64" s="476">
        <f>+AF63</f>
        <v>4597.886363636364</v>
      </c>
      <c r="AG64" s="476">
        <f t="shared" si="15"/>
        <v>158627.07954545465</v>
      </c>
      <c r="AH64" s="493">
        <f>+AE$29*AG64+AF64</f>
        <v>23485.221797689788</v>
      </c>
      <c r="AI64" s="492">
        <f>+AI63</f>
        <v>10885997.071969697</v>
      </c>
      <c r="AJ64" s="476">
        <f>+AJ63</f>
        <v>295547.43181818182</v>
      </c>
      <c r="AK64" s="476">
        <f t="shared" si="19"/>
        <v>10590449.640151516</v>
      </c>
      <c r="AL64" s="493">
        <f>+AI$29*AK64+AJ64</f>
        <v>1556526.1709096667</v>
      </c>
      <c r="AM64" s="492">
        <f>+AM63</f>
        <v>4046642.4223863622</v>
      </c>
      <c r="AN64" s="476">
        <f>+AN63</f>
        <v>110866.91568181818</v>
      </c>
      <c r="AO64" s="476">
        <f t="shared" si="16"/>
        <v>3935775.5067045442</v>
      </c>
      <c r="AP64" s="493">
        <f>+AM$29*AO64+AN64</f>
        <v>579490.00577003486</v>
      </c>
      <c r="AQ64" s="492">
        <f>+AQ63</f>
        <v>33256259.719772737</v>
      </c>
      <c r="AR64" s="476">
        <f>+AR63</f>
        <v>904932.23727272719</v>
      </c>
      <c r="AS64" s="476">
        <f t="shared" si="17"/>
        <v>32351327.482500009</v>
      </c>
      <c r="AT64" s="493">
        <f>+AQ$29*AS64+AR64</f>
        <v>4756925.0726057254</v>
      </c>
      <c r="AU64" s="576">
        <f>+AU63</f>
        <v>22375000</v>
      </c>
      <c r="AV64" s="575">
        <f>+AV63</f>
        <v>750000</v>
      </c>
      <c r="AW64" s="575">
        <f t="shared" si="1"/>
        <v>21625000</v>
      </c>
      <c r="AX64" s="558">
        <f>+AU$29*AW64+AV64</f>
        <v>750000</v>
      </c>
      <c r="AY64" s="576">
        <f>+AY63</f>
        <v>14583333.333333332</v>
      </c>
      <c r="AZ64" s="575">
        <f>+AZ63</f>
        <v>500000</v>
      </c>
      <c r="BA64" s="575">
        <f t="shared" si="2"/>
        <v>14083333.333333332</v>
      </c>
      <c r="BB64" s="558">
        <f>+AY$29*BA64+AZ64</f>
        <v>500000</v>
      </c>
      <c r="BC64" s="576">
        <f>+BC63</f>
        <v>22750000</v>
      </c>
      <c r="BD64" s="575">
        <f>+BD63</f>
        <v>750000</v>
      </c>
      <c r="BE64" s="575">
        <f t="shared" si="4"/>
        <v>22000000</v>
      </c>
      <c r="BF64" s="558">
        <f>+BC$29*BE64+BD64</f>
        <v>750000</v>
      </c>
      <c r="BG64" s="576">
        <f>+BG63</f>
        <v>14809523.809523813</v>
      </c>
      <c r="BH64" s="575">
        <f>+BH63</f>
        <v>571428.57142857148</v>
      </c>
      <c r="BI64" s="575">
        <f t="shared" si="5"/>
        <v>14238095.238095243</v>
      </c>
      <c r="BJ64" s="558">
        <f>+BG$29*BI64+BH64</f>
        <v>571428.57142857148</v>
      </c>
      <c r="BK64" s="576">
        <f>+BK63</f>
        <v>20000000</v>
      </c>
      <c r="BL64" s="575">
        <f>+BL63</f>
        <v>1200000</v>
      </c>
      <c r="BM64" s="575">
        <f t="shared" si="9"/>
        <v>18800000</v>
      </c>
      <c r="BN64" s="558">
        <f>+BK$29*BM64+BL64</f>
        <v>1200000</v>
      </c>
      <c r="BO64" s="576">
        <f>+BO63</f>
        <v>14499999.999999996</v>
      </c>
      <c r="BP64" s="575">
        <f>+BP63</f>
        <v>666666.66666666663</v>
      </c>
      <c r="BQ64" s="575">
        <f t="shared" si="10"/>
        <v>13833333.33333333</v>
      </c>
      <c r="BR64" s="558">
        <f>+BO$29*BQ64+BP64</f>
        <v>666666.66666666663</v>
      </c>
      <c r="BS64" s="492">
        <f>+BS63</f>
        <v>307502.79545454553</v>
      </c>
      <c r="BT64" s="476">
        <f>+BT63</f>
        <v>8310.886363636364</v>
      </c>
      <c r="BU64" s="476">
        <f t="shared" si="18"/>
        <v>299191.90909090918</v>
      </c>
      <c r="BV64" s="493">
        <f>+BS$29*BU64+BT64</f>
        <v>43934.929637631969</v>
      </c>
      <c r="BW64" s="492">
        <f>+BW63</f>
        <v>21631546.022727277</v>
      </c>
      <c r="BX64" s="476">
        <f>+BX63</f>
        <v>576841.22727272729</v>
      </c>
      <c r="BY64" s="476">
        <f t="shared" si="20"/>
        <v>21054704.795454551</v>
      </c>
      <c r="BZ64" s="493">
        <f>+BW$29*BY64+BX64</f>
        <v>2946532.8772222018</v>
      </c>
      <c r="CA64" s="492">
        <f>+CA63</f>
        <v>2045808.1600000006</v>
      </c>
      <c r="CB64" s="476">
        <f>+CB63</f>
        <v>54433.919999999998</v>
      </c>
      <c r="CC64" s="476">
        <f t="shared" si="21"/>
        <v>1991374.2400000007</v>
      </c>
      <c r="CD64" s="493">
        <f>+CA$29*CC64+CB64</f>
        <v>291541.94312814163</v>
      </c>
      <c r="CE64" s="492">
        <f>+CE63</f>
        <v>176007.33363636368</v>
      </c>
      <c r="CF64" s="476">
        <f>+CF63</f>
        <v>4725.0290909090909</v>
      </c>
      <c r="CG64" s="476">
        <f t="shared" si="22"/>
        <v>171282.30454545459</v>
      </c>
      <c r="CH64" s="493">
        <f>+CE$29*CG64+CF64</f>
        <v>25119.190977629605</v>
      </c>
      <c r="CI64" s="492">
        <f>+CI63</f>
        <v>471844.09090909082</v>
      </c>
      <c r="CJ64" s="476">
        <f>+CJ63</f>
        <v>12362.727272727272</v>
      </c>
      <c r="CK64" s="476">
        <f t="shared" si="23"/>
        <v>459481.36363636353</v>
      </c>
      <c r="CL64" s="493">
        <f>+CI$29*CK64+CJ64</f>
        <v>64077.019222883384</v>
      </c>
      <c r="CM64" s="492">
        <f>+CM63</f>
        <v>20677817.988920454</v>
      </c>
      <c r="CN64" s="476">
        <f>+CN63</f>
        <v>483691.64886363636</v>
      </c>
      <c r="CO64" s="476">
        <f t="shared" si="33"/>
        <v>20194126.340056818</v>
      </c>
      <c r="CP64" s="493">
        <f>+CM$29*CO64+CN64</f>
        <v>2756525.822078377</v>
      </c>
      <c r="CQ64" s="492">
        <f>+CQ63</f>
        <v>86258212.474602267</v>
      </c>
      <c r="CR64" s="476">
        <f>+CR63</f>
        <v>2017735.9643181816</v>
      </c>
      <c r="CS64" s="476">
        <f t="shared" si="38"/>
        <v>84240476.510284081</v>
      </c>
      <c r="CT64" s="493">
        <f>+CQ$29*CS64+CR64</f>
        <v>11498940.08062008</v>
      </c>
      <c r="CU64" s="492">
        <f>+CU63</f>
        <v>29076401.017500002</v>
      </c>
      <c r="CV64" s="476">
        <f>+CV63</f>
        <v>676195.37250000006</v>
      </c>
      <c r="CW64" s="476">
        <f t="shared" si="39"/>
        <v>28400205.645000003</v>
      </c>
      <c r="CX64" s="493">
        <f>+CU$29*CW64+CV64</f>
        <v>3872617.7791600833</v>
      </c>
      <c r="CY64" s="492">
        <f>+CY63</f>
        <v>31916.988068181876</v>
      </c>
      <c r="CZ64" s="476">
        <f>+CZ63</f>
        <v>733.72386363636497</v>
      </c>
      <c r="DA64" s="476">
        <f t="shared" si="40"/>
        <v>31183.26420454551</v>
      </c>
      <c r="DB64" s="493">
        <f>+CY$29*DA64+CZ64</f>
        <v>4243.3774789001982</v>
      </c>
      <c r="DC64" s="492">
        <f>+DC63</f>
        <v>1925951.5954545452</v>
      </c>
      <c r="DD64" s="476">
        <f>+DD63</f>
        <v>44530.672727272722</v>
      </c>
      <c r="DE64" s="476">
        <f t="shared" si="41"/>
        <v>1881420.9227272726</v>
      </c>
      <c r="DF64" s="493">
        <f>+DC$29*DE64+DD64</f>
        <v>256283.22371006131</v>
      </c>
      <c r="DG64" s="492">
        <f>+DG63</f>
        <v>1071817.1328409091</v>
      </c>
      <c r="DH64" s="476">
        <f>+DH63</f>
        <v>24639.474318181816</v>
      </c>
      <c r="DI64" s="476">
        <f t="shared" si="42"/>
        <v>1047177.6585227272</v>
      </c>
      <c r="DJ64" s="493">
        <f>+DG$29*DI64+DH64</f>
        <v>142498.55510428103</v>
      </c>
      <c r="DK64" s="492">
        <f>+DK63</f>
        <v>23726938.582613636</v>
      </c>
      <c r="DL64" s="476">
        <f>+DL63</f>
        <v>549658.80886363634</v>
      </c>
      <c r="DM64" s="476">
        <f t="shared" si="43"/>
        <v>23177279.77375</v>
      </c>
      <c r="DN64" s="493">
        <f>+DK$29*DM64+DL64</f>
        <v>3158244.7226521503</v>
      </c>
      <c r="DO64" s="492">
        <f>+DO63</f>
        <v>862078.96999999951</v>
      </c>
      <c r="DP64" s="476">
        <f>+DP63</f>
        <v>16327.253219696961</v>
      </c>
      <c r="DQ64" s="476">
        <f t="shared" ref="DQ64:DQ82" si="57">+DO64-DP64</f>
        <v>845751.71678030258</v>
      </c>
      <c r="DR64" s="493">
        <f>+(((DO$29*DQ64)*(12-DO$32)/12))+DP64</f>
        <v>95651.20166159069</v>
      </c>
      <c r="DS64" s="492">
        <f>+DS63</f>
        <v>365013.11999999866</v>
      </c>
      <c r="DT64" s="476">
        <f>+DT63</f>
        <v>4147.8763636363483</v>
      </c>
      <c r="DU64" s="476">
        <f t="shared" ref="DU64:DU127" si="58">+DS64-DT64</f>
        <v>360865.24363636231</v>
      </c>
      <c r="DV64" s="493">
        <f>+(((DS$29*DU64)*(12-DS$32)/12))+DT64</f>
        <v>24455.436191943329</v>
      </c>
      <c r="DW64" s="492">
        <f>+DW63</f>
        <v>53757.59</v>
      </c>
      <c r="DX64" s="476">
        <f>+DX63</f>
        <v>916.32255681818174</v>
      </c>
      <c r="DY64" s="476">
        <f t="shared" ref="DY64:DY127" si="59">+DW64-DX64</f>
        <v>52841.267443181816</v>
      </c>
      <c r="DZ64" s="493">
        <f>+(((DW$29*DY64)*(12-DW$32)/12))+DX64</f>
        <v>5376.757105153235</v>
      </c>
      <c r="EA64" s="492">
        <f>+EA63</f>
        <v>-313293.270000002</v>
      </c>
      <c r="EB64" s="476">
        <f>+EB63</f>
        <v>-593.35846590909466</v>
      </c>
      <c r="EC64" s="476">
        <f t="shared" ref="EC64:EC127" si="60">+EA64-EB64</f>
        <v>-312699.91153409291</v>
      </c>
      <c r="ED64" s="493">
        <f>+(((EA$29*EC64)*(12-EA$32)/12))+EB64</f>
        <v>-3526.2040242656144</v>
      </c>
      <c r="EE64" s="492"/>
      <c r="EF64" s="476"/>
      <c r="EG64" s="476"/>
      <c r="EH64" s="493"/>
      <c r="EI64" s="492"/>
      <c r="EJ64" s="476"/>
      <c r="EK64" s="476"/>
      <c r="EL64" s="493"/>
      <c r="EM64" s="492"/>
      <c r="EN64" s="476"/>
      <c r="EO64" s="476"/>
      <c r="EP64" s="493"/>
      <c r="EQ64" s="492"/>
      <c r="ER64" s="476"/>
      <c r="ES64" s="476"/>
      <c r="ET64" s="493"/>
      <c r="EU64" s="492"/>
      <c r="EV64" s="476"/>
      <c r="EW64" s="476"/>
      <c r="EX64" s="493"/>
      <c r="EY64" s="582">
        <f t="shared" si="3"/>
        <v>43207137.971342482</v>
      </c>
      <c r="EZ64" s="579">
        <f>+EY64</f>
        <v>43207137.971342482</v>
      </c>
      <c r="FA64" s="553"/>
      <c r="FB64" s="758"/>
      <c r="FD64" s="492">
        <f>+FD63</f>
        <v>7836061.0333333351</v>
      </c>
      <c r="FE64" s="476">
        <f>+FE63</f>
        <v>1270712.6000000001</v>
      </c>
      <c r="FF64" s="476">
        <f t="shared" si="24"/>
        <v>6565348.4333333354</v>
      </c>
      <c r="FG64" s="493">
        <f t="shared" si="44"/>
        <v>2138219.0532694478</v>
      </c>
      <c r="FH64" s="492">
        <f>+FH63</f>
        <v>6260830.7999999989</v>
      </c>
      <c r="FI64" s="476">
        <f>+FI63</f>
        <v>894404.4</v>
      </c>
      <c r="FJ64" s="476">
        <f t="shared" si="25"/>
        <v>5366426.3999999985</v>
      </c>
      <c r="FK64" s="493">
        <f t="shared" si="45"/>
        <v>1603492.3608703269</v>
      </c>
      <c r="FL64" s="492">
        <f>+FL63</f>
        <v>971505.25441666646</v>
      </c>
      <c r="FM64" s="476">
        <f>+FM63</f>
        <v>140458.59099999999</v>
      </c>
      <c r="FN64" s="476">
        <f t="shared" si="26"/>
        <v>831046.66341666644</v>
      </c>
      <c r="FO64" s="493">
        <f t="shared" si="46"/>
        <v>250268.19985818036</v>
      </c>
      <c r="FP64" s="492">
        <f>+FP63</f>
        <v>118722.10000000002</v>
      </c>
      <c r="FQ64" s="476">
        <f>+FQ63</f>
        <v>16960.3</v>
      </c>
      <c r="FR64" s="476">
        <f t="shared" si="27"/>
        <v>101761.80000000002</v>
      </c>
      <c r="FS64" s="493">
        <f t="shared" si="47"/>
        <v>30406.504583462483</v>
      </c>
      <c r="FT64" s="492">
        <f>+FT63</f>
        <v>8985.4663333333338</v>
      </c>
      <c r="FU64" s="476">
        <f>+FU63</f>
        <v>1253.7860000000001</v>
      </c>
      <c r="FV64" s="476">
        <f t="shared" si="32"/>
        <v>7731.6803333333337</v>
      </c>
      <c r="FW64" s="493">
        <f t="shared" si="48"/>
        <v>2275.4046774991539</v>
      </c>
      <c r="FX64" s="492">
        <f>+FX63</f>
        <v>29241134.854999997</v>
      </c>
      <c r="FY64" s="476">
        <f>+FY63</f>
        <v>4033259.9799999995</v>
      </c>
      <c r="FZ64" s="476">
        <f t="shared" si="28"/>
        <v>25207874.874999996</v>
      </c>
      <c r="GA64" s="493">
        <f t="shared" si="49"/>
        <v>7364080.019381905</v>
      </c>
      <c r="GB64" s="492">
        <f>+GB63</f>
        <v>402321.17683333339</v>
      </c>
      <c r="GC64" s="476">
        <f>+GC63</f>
        <v>53053.342000000004</v>
      </c>
      <c r="GD64" s="476">
        <f t="shared" si="29"/>
        <v>349267.83483333339</v>
      </c>
      <c r="GE64" s="493">
        <f t="shared" si="50"/>
        <v>99203.535506718472</v>
      </c>
      <c r="GF64" s="492">
        <f>+GF63</f>
        <v>-408792.42949999979</v>
      </c>
      <c r="GG64" s="476">
        <f>+GG63</f>
        <v>-53906.693999999974</v>
      </c>
      <c r="GH64" s="476">
        <f t="shared" si="30"/>
        <v>-354885.73549999984</v>
      </c>
      <c r="GI64" s="493">
        <f t="shared" si="51"/>
        <v>-100799.2037952822</v>
      </c>
      <c r="GJ64" s="492">
        <f>+GJ63</f>
        <v>26065594.882833336</v>
      </c>
      <c r="GK64" s="476">
        <f>+GK63</f>
        <v>3327522.7509999997</v>
      </c>
      <c r="GL64" s="476">
        <f t="shared" si="31"/>
        <v>22738072.131833337</v>
      </c>
      <c r="GM64" s="493">
        <f t="shared" si="52"/>
        <v>6331997.610113713</v>
      </c>
      <c r="GN64" s="492">
        <f>+GN63</f>
        <v>394135.83374999999</v>
      </c>
      <c r="GO64" s="476">
        <f>+GO63</f>
        <v>49785.578999999998</v>
      </c>
      <c r="GP64" s="476">
        <f t="shared" si="36"/>
        <v>344350.25474999996</v>
      </c>
      <c r="GQ64" s="493">
        <f t="shared" si="53"/>
        <v>95285.992453141764</v>
      </c>
      <c r="GR64" s="492">
        <f>+GR63</f>
        <v>1492652.6235</v>
      </c>
      <c r="GS64" s="476">
        <f>+GS63</f>
        <v>175606.19100000002</v>
      </c>
      <c r="GT64" s="476">
        <f t="shared" si="37"/>
        <v>1317046.4324999999</v>
      </c>
      <c r="GU64" s="493">
        <f t="shared" si="54"/>
        <v>349632.94541388034</v>
      </c>
      <c r="GV64" s="492">
        <f>+GV63</f>
        <v>34717452.066416658</v>
      </c>
      <c r="GW64" s="476">
        <f>+GW63</f>
        <v>3686809.0689999992</v>
      </c>
      <c r="GX64" s="476">
        <f t="shared" si="55"/>
        <v>31030642.99741666</v>
      </c>
      <c r="GY64" s="493">
        <f t="shared" si="56"/>
        <v>7787015.3752922602</v>
      </c>
      <c r="GZ64" s="492">
        <f>+GZ63</f>
        <v>80280476.510000005</v>
      </c>
      <c r="HA64" s="476">
        <f>+HA63</f>
        <v>2676015.8836666667</v>
      </c>
      <c r="HB64" s="476">
        <f t="shared" ref="HB64:HB84" si="61">+GZ64-HA64</f>
        <v>77604460.626333341</v>
      </c>
      <c r="HC64" s="493">
        <f>+(((GZ$29*HB64)*(12-GZ$32)/12))+HA64</f>
        <v>6094081.255187666</v>
      </c>
      <c r="HD64" s="576"/>
      <c r="HE64" s="580"/>
      <c r="HF64" s="580"/>
      <c r="HG64" s="918"/>
      <c r="HH64" s="576"/>
      <c r="HI64" s="575"/>
      <c r="HJ64" s="575"/>
      <c r="HK64" s="918"/>
      <c r="HL64" s="576"/>
      <c r="HM64" s="575"/>
      <c r="HN64" s="575"/>
      <c r="HO64" s="918"/>
      <c r="HP64" s="576"/>
      <c r="HQ64" s="575"/>
      <c r="HR64" s="575"/>
      <c r="HS64" s="918"/>
      <c r="HT64" s="576"/>
      <c r="HU64" s="575"/>
      <c r="HV64" s="575"/>
      <c r="HW64" s="918"/>
      <c r="HY64" s="492"/>
      <c r="HZ64" s="476"/>
      <c r="IA64" s="476"/>
      <c r="IB64" s="493"/>
      <c r="IC64" s="492"/>
      <c r="ID64" s="476"/>
      <c r="IE64" s="476"/>
      <c r="IF64" s="493"/>
      <c r="IG64" s="492"/>
      <c r="IH64" s="476"/>
      <c r="II64" s="476"/>
      <c r="IJ64" s="493"/>
    </row>
    <row r="65" spans="1:244" ht="12.75" customHeight="1">
      <c r="A65" s="554" t="s">
        <v>24</v>
      </c>
      <c r="B65" s="574">
        <f t="shared" si="0"/>
        <v>2019</v>
      </c>
      <c r="C65" s="575">
        <f>+E64</f>
        <v>15045479.46306818</v>
      </c>
      <c r="D65" s="575">
        <f>+C$31</f>
        <v>445791.98409090913</v>
      </c>
      <c r="E65" s="575">
        <f t="shared" si="6"/>
        <v>14599687.47897727</v>
      </c>
      <c r="F65" s="558">
        <f>+C$28*E65+D65</f>
        <v>2088976.1487187285</v>
      </c>
      <c r="G65" s="575">
        <f>+I64</f>
        <v>3880665.1097727246</v>
      </c>
      <c r="H65" s="575">
        <f>+G$31</f>
        <v>115840.74954545456</v>
      </c>
      <c r="I65" s="575">
        <f t="shared" si="7"/>
        <v>3764824.3602272701</v>
      </c>
      <c r="J65" s="558">
        <f>+G$28*I65+H65</f>
        <v>539568.98210100993</v>
      </c>
      <c r="K65" s="576">
        <f>+M64</f>
        <v>10002497.177215904</v>
      </c>
      <c r="L65" s="575">
        <f>+K$31</f>
        <v>305419.76113636367</v>
      </c>
      <c r="M65" s="575">
        <f t="shared" si="8"/>
        <v>9697077.4160795398</v>
      </c>
      <c r="N65" s="558">
        <f>+K$28*M65+L65</f>
        <v>1396818.743218421</v>
      </c>
      <c r="O65" s="576">
        <f>+Q64</f>
        <v>4156185.0833333321</v>
      </c>
      <c r="P65" s="575">
        <f>+O$31</f>
        <v>119316.31818181818</v>
      </c>
      <c r="Q65" s="575">
        <f t="shared" si="11"/>
        <v>4036868.7651515137</v>
      </c>
      <c r="R65" s="558">
        <f>+O$28*Q65+P65</f>
        <v>573662.94985658745</v>
      </c>
      <c r="S65" s="492">
        <f>+U64</f>
        <v>1934137.5642424226</v>
      </c>
      <c r="T65" s="476">
        <f>+S$31</f>
        <v>58315.705454545445</v>
      </c>
      <c r="U65" s="476">
        <f t="shared" si="12"/>
        <v>1875821.858787877</v>
      </c>
      <c r="V65" s="493">
        <f>+S$28*U65+T65</f>
        <v>269438.08587955998</v>
      </c>
      <c r="W65" s="492">
        <f>+Y64</f>
        <v>24149727.541666668</v>
      </c>
      <c r="X65" s="476">
        <f>+W$31</f>
        <v>693293.61363636365</v>
      </c>
      <c r="Y65" s="476">
        <f t="shared" si="13"/>
        <v>23456433.928030305</v>
      </c>
      <c r="Z65" s="493">
        <f>+W$28*Y65+X65</f>
        <v>3333298.1236423631</v>
      </c>
      <c r="AA65" s="492">
        <f>+AC64</f>
        <v>15741595.899621205</v>
      </c>
      <c r="AB65" s="476">
        <f>+AA$31</f>
        <v>450833.29545454547</v>
      </c>
      <c r="AC65" s="476">
        <f t="shared" si="14"/>
        <v>15290762.60416666</v>
      </c>
      <c r="AD65" s="493">
        <f>+AA$28*AC65+AB65</f>
        <v>2171797.460778581</v>
      </c>
      <c r="AE65" s="492">
        <f>+AG64</f>
        <v>158627.07954545465</v>
      </c>
      <c r="AF65" s="476">
        <f>+AE$31</f>
        <v>4597.886363636364</v>
      </c>
      <c r="AG65" s="476">
        <f t="shared" si="15"/>
        <v>154029.19318181829</v>
      </c>
      <c r="AH65" s="493">
        <f>+AE$28*AG65+AF65</f>
        <v>21933.759579498721</v>
      </c>
      <c r="AI65" s="492">
        <f>+AK64</f>
        <v>10590449.640151516</v>
      </c>
      <c r="AJ65" s="476">
        <f>+AI$31</f>
        <v>295547.43181818182</v>
      </c>
      <c r="AK65" s="476">
        <f t="shared" si="19"/>
        <v>10294902.208333334</v>
      </c>
      <c r="AL65" s="493">
        <f>+AI$28*AK65+AJ65</f>
        <v>1454231.1577187532</v>
      </c>
      <c r="AM65" s="492">
        <f>+AO64</f>
        <v>3935775.5067045442</v>
      </c>
      <c r="AN65" s="476">
        <f>+AM$31</f>
        <v>110866.91568181818</v>
      </c>
      <c r="AO65" s="476">
        <f t="shared" si="16"/>
        <v>3824908.5910227261</v>
      </c>
      <c r="AP65" s="493">
        <f>+AM$28*AO65+AN65</f>
        <v>541357.584538089</v>
      </c>
      <c r="AQ65" s="492">
        <f>+AS64</f>
        <v>32351327.482500009</v>
      </c>
      <c r="AR65" s="476">
        <f>+AQ$31</f>
        <v>904932.23727272719</v>
      </c>
      <c r="AS65" s="476">
        <f t="shared" si="17"/>
        <v>31446395.245227281</v>
      </c>
      <c r="AT65" s="493">
        <f>+AQ$28*AS65+AR65</f>
        <v>4444201.0590190906</v>
      </c>
      <c r="AU65" s="576">
        <f>+AW64</f>
        <v>21625000</v>
      </c>
      <c r="AV65" s="575">
        <f>+AU$31</f>
        <v>750000</v>
      </c>
      <c r="AW65" s="575">
        <f t="shared" si="1"/>
        <v>20875000</v>
      </c>
      <c r="AX65" s="558">
        <f>+AU$28*AW65+AV65</f>
        <v>750000</v>
      </c>
      <c r="AY65" s="576">
        <f>+BA64</f>
        <v>14083333.333333332</v>
      </c>
      <c r="AZ65" s="575">
        <f>+AY$31</f>
        <v>500000</v>
      </c>
      <c r="BA65" s="575">
        <f t="shared" si="2"/>
        <v>13583333.333333332</v>
      </c>
      <c r="BB65" s="558">
        <f>+AY$28*BA65+AZ65</f>
        <v>500000</v>
      </c>
      <c r="BC65" s="576">
        <f>+BE64</f>
        <v>22000000</v>
      </c>
      <c r="BD65" s="575">
        <f>+BC$31</f>
        <v>750000</v>
      </c>
      <c r="BE65" s="575">
        <f t="shared" si="4"/>
        <v>21250000</v>
      </c>
      <c r="BF65" s="558">
        <f>+BC$28*BE65+BD65</f>
        <v>750000</v>
      </c>
      <c r="BG65" s="576">
        <f>+BI64</f>
        <v>14238095.238095243</v>
      </c>
      <c r="BH65" s="575">
        <f>+BG$31</f>
        <v>571428.57142857148</v>
      </c>
      <c r="BI65" s="575">
        <f t="shared" si="5"/>
        <v>13666666.666666672</v>
      </c>
      <c r="BJ65" s="558">
        <f>+BG$28*BI65+BH65</f>
        <v>571428.57142857148</v>
      </c>
      <c r="BK65" s="576">
        <f>+BM64</f>
        <v>18800000</v>
      </c>
      <c r="BL65" s="575">
        <f>+BK$31</f>
        <v>1200000</v>
      </c>
      <c r="BM65" s="575">
        <f t="shared" si="9"/>
        <v>17600000</v>
      </c>
      <c r="BN65" s="558">
        <f>+BK$28*BM65+BL65</f>
        <v>1200000</v>
      </c>
      <c r="BO65" s="576">
        <f>+BQ64</f>
        <v>13833333.33333333</v>
      </c>
      <c r="BP65" s="575">
        <f>+BO$31</f>
        <v>666666.66666666663</v>
      </c>
      <c r="BQ65" s="575">
        <f t="shared" si="10"/>
        <v>13166666.666666664</v>
      </c>
      <c r="BR65" s="558">
        <f>+BO$28*BQ65+BP65</f>
        <v>666666.66666666663</v>
      </c>
      <c r="BS65" s="492">
        <f>+BU64</f>
        <v>299191.90909090918</v>
      </c>
      <c r="BT65" s="476">
        <f>+BS$31</f>
        <v>8310.886363636364</v>
      </c>
      <c r="BU65" s="476">
        <f t="shared" si="18"/>
        <v>290881.02272727282</v>
      </c>
      <c r="BV65" s="493">
        <f>+BS$28*BU65+BT65</f>
        <v>41049.333061516096</v>
      </c>
      <c r="BW65" s="492">
        <f>+BY64</f>
        <v>21054704.795454551</v>
      </c>
      <c r="BX65" s="476">
        <f>+BW$31</f>
        <v>576841.22727272729</v>
      </c>
      <c r="BY65" s="476">
        <f t="shared" si="20"/>
        <v>20477863.568181824</v>
      </c>
      <c r="BZ65" s="493">
        <f>+BW$28*BY65+BX65</f>
        <v>2881609.8183194762</v>
      </c>
      <c r="CA65" s="492">
        <f>+CC64</f>
        <v>1991374.2400000007</v>
      </c>
      <c r="CB65" s="476">
        <f>+CA$31</f>
        <v>54433.919999999998</v>
      </c>
      <c r="CC65" s="476">
        <f t="shared" si="21"/>
        <v>1936940.3200000008</v>
      </c>
      <c r="CD65" s="493">
        <f>+CA$28*CC65+CB65</f>
        <v>272435.13860389974</v>
      </c>
      <c r="CE65" s="492">
        <f>+CG64</f>
        <v>171282.30454545459</v>
      </c>
      <c r="CF65" s="476">
        <f>+CE$31</f>
        <v>4725.0290909090909</v>
      </c>
      <c r="CG65" s="476">
        <f t="shared" si="22"/>
        <v>166557.27545454551</v>
      </c>
      <c r="CH65" s="493">
        <f>+CE$28*CG65+CF65</f>
        <v>23470.928818184275</v>
      </c>
      <c r="CI65" s="492">
        <f>+CK64</f>
        <v>459481.36363636353</v>
      </c>
      <c r="CJ65" s="476">
        <f>+CI$31</f>
        <v>12362.727272727272</v>
      </c>
      <c r="CK65" s="476">
        <f t="shared" si="23"/>
        <v>447118.63636363624</v>
      </c>
      <c r="CL65" s="493">
        <f>+CI$28*CK65+CJ65</f>
        <v>62685.603295973357</v>
      </c>
      <c r="CM65" s="492">
        <f>+CO64</f>
        <v>20194126.340056818</v>
      </c>
      <c r="CN65" s="476">
        <f>+CM$31</f>
        <v>483691.64886363636</v>
      </c>
      <c r="CO65" s="476">
        <f t="shared" si="33"/>
        <v>19710434.691193182</v>
      </c>
      <c r="CP65" s="493">
        <f>+CM$28*CO65+CN65</f>
        <v>2702086.6802049698</v>
      </c>
      <c r="CQ65" s="492">
        <f>+CS64</f>
        <v>84240476.510284081</v>
      </c>
      <c r="CR65" s="476">
        <f>+CQ$31</f>
        <v>2017735.9643181816</v>
      </c>
      <c r="CS65" s="476">
        <f t="shared" si="38"/>
        <v>82222740.545965895</v>
      </c>
      <c r="CT65" s="493">
        <f>+CQ$28*CS65+CR65</f>
        <v>11271845.37124758</v>
      </c>
      <c r="CU65" s="492">
        <f>+CW64</f>
        <v>28400205.645000003</v>
      </c>
      <c r="CV65" s="476">
        <f>+CU$31</f>
        <v>676195.37250000006</v>
      </c>
      <c r="CW65" s="476">
        <f t="shared" si="39"/>
        <v>27724010.272500005</v>
      </c>
      <c r="CX65" s="493">
        <f>+CU$28*CW65+CV65</f>
        <v>3796512.4837634144</v>
      </c>
      <c r="CY65" s="492">
        <f>+DA64</f>
        <v>31183.26420454551</v>
      </c>
      <c r="CZ65" s="476">
        <f>+CY$31</f>
        <v>733.72386363636497</v>
      </c>
      <c r="DA65" s="476">
        <f t="shared" si="40"/>
        <v>30449.540340909145</v>
      </c>
      <c r="DB65" s="493">
        <f>+CY$28*DA65+CZ65</f>
        <v>4160.7973938351661</v>
      </c>
      <c r="DC65" s="492">
        <f>+DE64</f>
        <v>1881420.9227272726</v>
      </c>
      <c r="DD65" s="476">
        <f>+DC$31</f>
        <v>44530.672727272722</v>
      </c>
      <c r="DE65" s="476">
        <f t="shared" si="41"/>
        <v>1836890.25</v>
      </c>
      <c r="DF65" s="493">
        <f>+DC$28*DE65+DD65</f>
        <v>251271.32901224383</v>
      </c>
      <c r="DG65" s="492">
        <f>+DI64</f>
        <v>1047177.6585227272</v>
      </c>
      <c r="DH65" s="476">
        <f>+DG$31</f>
        <v>24639.474318181816</v>
      </c>
      <c r="DI65" s="476">
        <f t="shared" si="42"/>
        <v>1022538.1842045453</v>
      </c>
      <c r="DJ65" s="493">
        <f>+DG$28*DI65+DH65</f>
        <v>139725.40026225516</v>
      </c>
      <c r="DK65" s="492">
        <f>+DM64</f>
        <v>23177279.77375</v>
      </c>
      <c r="DL65" s="476">
        <f>+DK$31</f>
        <v>549658.80886363634</v>
      </c>
      <c r="DM65" s="476">
        <f t="shared" si="43"/>
        <v>22627620.964886364</v>
      </c>
      <c r="DN65" s="493">
        <f>+DK$28*DM65+DL65</f>
        <v>3096381.025091948</v>
      </c>
      <c r="DO65" s="492">
        <f>+DQ64</f>
        <v>845751.71678030258</v>
      </c>
      <c r="DP65" s="476">
        <f>+DO31</f>
        <v>19592.703863636354</v>
      </c>
      <c r="DQ65" s="476">
        <f t="shared" si="57"/>
        <v>826159.01291666622</v>
      </c>
      <c r="DR65" s="493">
        <f t="shared" ref="DR65:DR82" si="62">+DO$29*DQ65+DP65</f>
        <v>112576.29748123843</v>
      </c>
      <c r="DS65" s="492">
        <f>+DU64</f>
        <v>360865.24363636231</v>
      </c>
      <c r="DT65" s="476">
        <f>+DS31</f>
        <v>8295.7527272726966</v>
      </c>
      <c r="DU65" s="476">
        <f t="shared" si="58"/>
        <v>352569.49090908963</v>
      </c>
      <c r="DV65" s="493">
        <f t="shared" ref="DV65:DV90" si="63">+DS$29*DU65+DT65</f>
        <v>47977.19147224036</v>
      </c>
      <c r="DW65" s="492">
        <f>+DY64</f>
        <v>52841.267443181816</v>
      </c>
      <c r="DX65" s="476">
        <f>+DW31</f>
        <v>1221.7634090909089</v>
      </c>
      <c r="DY65" s="476">
        <f t="shared" si="59"/>
        <v>51619.504034090904</v>
      </c>
      <c r="DZ65" s="493">
        <f t="shared" ref="DZ65:DZ90" si="64">+DW$29*DY65+DX65</f>
        <v>7031.5008940128664</v>
      </c>
      <c r="EA65" s="492">
        <f>+EC64</f>
        <v>-312699.91153409291</v>
      </c>
      <c r="EB65" s="476">
        <f>+EA31</f>
        <v>-7120.3015909091364</v>
      </c>
      <c r="EC65" s="476">
        <f t="shared" si="60"/>
        <v>-305579.60994318378</v>
      </c>
      <c r="ED65" s="493">
        <f t="shared" ref="ED65:ED90" si="65">+EA$29*EC65+EB65</f>
        <v>-41513.063546589008</v>
      </c>
      <c r="EE65" s="492"/>
      <c r="EF65" s="476"/>
      <c r="EG65" s="476"/>
      <c r="EH65" s="493"/>
      <c r="EI65" s="492"/>
      <c r="EJ65" s="476"/>
      <c r="EK65" s="476"/>
      <c r="EL65" s="493"/>
      <c r="EM65" s="492"/>
      <c r="EN65" s="476"/>
      <c r="EO65" s="476"/>
      <c r="EP65" s="493"/>
      <c r="EQ65" s="492"/>
      <c r="ER65" s="476"/>
      <c r="ES65" s="476"/>
      <c r="ET65" s="493"/>
      <c r="EU65" s="492"/>
      <c r="EV65" s="476"/>
      <c r="EW65" s="476"/>
      <c r="EX65" s="493"/>
      <c r="EY65" s="582">
        <f t="shared" si="3"/>
        <v>41504589.890426874</v>
      </c>
      <c r="EZ65" s="557"/>
      <c r="FA65" s="578">
        <f>+EY65</f>
        <v>41504589.890426874</v>
      </c>
      <c r="FD65" s="492">
        <f>+FF64</f>
        <v>6565348.4333333354</v>
      </c>
      <c r="FE65" s="476">
        <f>+FE63</f>
        <v>1270712.6000000001</v>
      </c>
      <c r="FF65" s="476">
        <f t="shared" si="24"/>
        <v>5294635.8333333358</v>
      </c>
      <c r="FG65" s="493">
        <f t="shared" si="44"/>
        <v>1970314.5784431035</v>
      </c>
      <c r="FH65" s="492">
        <f>+FJ64</f>
        <v>5366426.3999999985</v>
      </c>
      <c r="FI65" s="476">
        <f>+FI63</f>
        <v>894404.4</v>
      </c>
      <c r="FJ65" s="476">
        <f t="shared" si="25"/>
        <v>4472021.9999999981</v>
      </c>
      <c r="FK65" s="493">
        <f t="shared" si="45"/>
        <v>1485311.0340586058</v>
      </c>
      <c r="FL65" s="492">
        <f>+FN64</f>
        <v>831046.66341666644</v>
      </c>
      <c r="FM65" s="476">
        <f>+FM63</f>
        <v>140458.59099999999</v>
      </c>
      <c r="FN65" s="476">
        <f t="shared" si="26"/>
        <v>690588.07241666643</v>
      </c>
      <c r="FO65" s="493">
        <f t="shared" si="46"/>
        <v>231708.82934693861</v>
      </c>
      <c r="FP65" s="492">
        <f>+FR64</f>
        <v>101761.80000000002</v>
      </c>
      <c r="FQ65" s="476">
        <f>+FQ63</f>
        <v>16960.3</v>
      </c>
      <c r="FR65" s="476">
        <f t="shared" si="27"/>
        <v>84801.500000000015</v>
      </c>
      <c r="FS65" s="493">
        <f t="shared" si="47"/>
        <v>28165.470486218735</v>
      </c>
      <c r="FT65" s="492">
        <f>+FV64</f>
        <v>7731.6803333333337</v>
      </c>
      <c r="FU65" s="476">
        <f>+FU63</f>
        <v>1253.7860000000001</v>
      </c>
      <c r="FV65" s="476">
        <f t="shared" si="32"/>
        <v>6477.8943333333336</v>
      </c>
      <c r="FW65" s="493">
        <f t="shared" si="48"/>
        <v>2109.7367838506425</v>
      </c>
      <c r="FX65" s="492">
        <f>+FZ64</f>
        <v>25207874.874999996</v>
      </c>
      <c r="FY65" s="476">
        <f>+FY63</f>
        <v>4033259.9799999995</v>
      </c>
      <c r="FZ65" s="476">
        <f t="shared" si="28"/>
        <v>21174614.894999996</v>
      </c>
      <c r="GA65" s="493">
        <f t="shared" si="49"/>
        <v>6831148.8130808007</v>
      </c>
      <c r="GB65" s="492">
        <f>+GD64</f>
        <v>349267.83483333339</v>
      </c>
      <c r="GC65" s="476">
        <f>+GC63</f>
        <v>53053.342000000004</v>
      </c>
      <c r="GD65" s="476">
        <f t="shared" si="29"/>
        <v>296214.49283333338</v>
      </c>
      <c r="GE65" s="493">
        <f t="shared" si="50"/>
        <v>92193.379531014405</v>
      </c>
      <c r="GF65" s="492">
        <f>+GH64</f>
        <v>-354885.73549999984</v>
      </c>
      <c r="GG65" s="476">
        <f>+GG63</f>
        <v>-53906.693999999974</v>
      </c>
      <c r="GH65" s="476">
        <f t="shared" si="30"/>
        <v>-300979.04149999988</v>
      </c>
      <c r="GI65" s="493">
        <f t="shared" si="51"/>
        <v>-93676.290914986166</v>
      </c>
      <c r="GJ65" s="492">
        <f>+GL64</f>
        <v>22738072.131833337</v>
      </c>
      <c r="GK65" s="476">
        <f>+GK63</f>
        <v>3327522.7509999997</v>
      </c>
      <c r="GL65" s="476">
        <f t="shared" si="31"/>
        <v>19410549.380833339</v>
      </c>
      <c r="GM65" s="493">
        <f t="shared" si="52"/>
        <v>5892318.3624385353</v>
      </c>
      <c r="GN65" s="492">
        <f>+GP64</f>
        <v>344350.25474999996</v>
      </c>
      <c r="GO65" s="476">
        <f>+GO63</f>
        <v>49785.578999999998</v>
      </c>
      <c r="GP65" s="476">
        <f t="shared" si="36"/>
        <v>294564.67574999994</v>
      </c>
      <c r="GQ65" s="493">
        <f t="shared" si="53"/>
        <v>88707.619423771859</v>
      </c>
      <c r="GR65" s="492">
        <f>+GT64</f>
        <v>1317046.4324999999</v>
      </c>
      <c r="GS65" s="476">
        <f>+GS63</f>
        <v>175606.19100000002</v>
      </c>
      <c r="GT65" s="476">
        <f t="shared" si="37"/>
        <v>1141440.2414999998</v>
      </c>
      <c r="GU65" s="493">
        <f t="shared" si="54"/>
        <v>326429.37815869623</v>
      </c>
      <c r="GV65" s="492">
        <f>+GX64</f>
        <v>31030642.99741666</v>
      </c>
      <c r="GW65" s="476">
        <f>+GW63</f>
        <v>3686809.0689999992</v>
      </c>
      <c r="GX65" s="476">
        <f t="shared" si="55"/>
        <v>27343833.928416662</v>
      </c>
      <c r="GY65" s="493">
        <f t="shared" si="56"/>
        <v>7299862.150782289</v>
      </c>
      <c r="GZ65" s="492">
        <f>+HB64</f>
        <v>77604460.626333341</v>
      </c>
      <c r="HA65" s="476">
        <f>+GZ31</f>
        <v>8028047.6510000005</v>
      </c>
      <c r="HB65" s="476">
        <f t="shared" si="61"/>
        <v>69576412.975333333</v>
      </c>
      <c r="HC65" s="493">
        <f t="shared" ref="HC65:HC84" si="66">+GZ$29*HB65+HA65</f>
        <v>17221464.857159927</v>
      </c>
      <c r="HD65" s="576">
        <f>+HD30</f>
        <v>-531831</v>
      </c>
      <c r="HE65" s="580">
        <f>+HD$31/12*(12-$HD$32)</f>
        <v>-48751.175000000003</v>
      </c>
      <c r="HF65" s="580">
        <f>+HD65-HE65</f>
        <v>-483079.82500000001</v>
      </c>
      <c r="HG65" s="918">
        <f>+(((HD$28*HF65)*(12-HD$32)/12))+HE65</f>
        <v>-107263.21957208385</v>
      </c>
      <c r="HH65" s="576">
        <f>+HH30</f>
        <v>1297564</v>
      </c>
      <c r="HI65" s="575">
        <f>+HH$31/12*(12-$HH$32)</f>
        <v>86504.266666666663</v>
      </c>
      <c r="HJ65" s="575">
        <f>+HH65-HI65</f>
        <v>1211059.7333333334</v>
      </c>
      <c r="HK65" s="918">
        <f>+(((HH$28*HJ65)*(12-HH$32)/12))+HI65</f>
        <v>193185.79770086298</v>
      </c>
      <c r="HL65" s="576"/>
      <c r="HM65" s="575"/>
      <c r="HN65" s="575"/>
      <c r="HO65" s="918"/>
      <c r="HP65" s="576"/>
      <c r="HQ65" s="575"/>
      <c r="HR65" s="575"/>
      <c r="HS65" s="918"/>
      <c r="HT65" s="576"/>
      <c r="HU65" s="575"/>
      <c r="HV65" s="575"/>
      <c r="HW65" s="918"/>
      <c r="HX65" s="580"/>
      <c r="HY65" s="492"/>
      <c r="HZ65" s="476"/>
      <c r="IA65" s="476"/>
      <c r="IB65" s="493"/>
      <c r="IC65" s="492"/>
      <c r="ID65" s="476"/>
      <c r="IE65" s="476"/>
      <c r="IF65" s="493"/>
      <c r="IG65" s="492"/>
      <c r="IH65" s="476"/>
      <c r="II65" s="476"/>
      <c r="IJ65" s="493"/>
    </row>
    <row r="66" spans="1:244" ht="13">
      <c r="A66" s="554" t="s">
        <v>23</v>
      </c>
      <c r="B66" s="574">
        <f t="shared" si="0"/>
        <v>2019</v>
      </c>
      <c r="C66" s="575">
        <f>+C65</f>
        <v>15045479.46306818</v>
      </c>
      <c r="D66" s="575">
        <f>+D65</f>
        <v>445791.98409090913</v>
      </c>
      <c r="E66" s="575">
        <f t="shared" si="6"/>
        <v>14599687.47897727</v>
      </c>
      <c r="F66" s="558">
        <f>+C$29*E66+D66</f>
        <v>2184140.7921125405</v>
      </c>
      <c r="G66" s="575">
        <f>+G65</f>
        <v>3880665.1097727246</v>
      </c>
      <c r="H66" s="575">
        <f>+H65</f>
        <v>115840.74954545456</v>
      </c>
      <c r="I66" s="575">
        <f t="shared" si="7"/>
        <v>3764824.3602272701</v>
      </c>
      <c r="J66" s="558">
        <f>+G$29*I66+H66</f>
        <v>564109.10792200873</v>
      </c>
      <c r="K66" s="576">
        <f>+K65</f>
        <v>10002497.177215904</v>
      </c>
      <c r="L66" s="575">
        <f>+L65</f>
        <v>305419.76113636367</v>
      </c>
      <c r="M66" s="575">
        <f t="shared" si="8"/>
        <v>9697077.4160795398</v>
      </c>
      <c r="N66" s="558">
        <f>+K$29*M66+L66</f>
        <v>1460026.8711726805</v>
      </c>
      <c r="O66" s="576">
        <f>+O65</f>
        <v>4156185.0833333321</v>
      </c>
      <c r="P66" s="575">
        <f>+P65</f>
        <v>119316.31818181818</v>
      </c>
      <c r="Q66" s="575">
        <f t="shared" si="11"/>
        <v>4036868.7651515137</v>
      </c>
      <c r="R66" s="558">
        <f>+O$29*Q66+P66</f>
        <v>599976.33341472456</v>
      </c>
      <c r="S66" s="492">
        <f>+S65</f>
        <v>1934137.5642424226</v>
      </c>
      <c r="T66" s="476">
        <f>+T65</f>
        <v>58315.705454545445</v>
      </c>
      <c r="U66" s="476">
        <f t="shared" si="12"/>
        <v>1875821.858787877</v>
      </c>
      <c r="V66" s="493">
        <f>+S$29*U66+T66</f>
        <v>281665.19132403698</v>
      </c>
      <c r="W66" s="492">
        <f>+W65</f>
        <v>24149727.541666668</v>
      </c>
      <c r="X66" s="476">
        <f>+X65</f>
        <v>693293.61363636365</v>
      </c>
      <c r="Y66" s="476">
        <f t="shared" si="13"/>
        <v>23456433.928030305</v>
      </c>
      <c r="Z66" s="493">
        <f>+W$29*Y66+X66</f>
        <v>3486193.3943983833</v>
      </c>
      <c r="AA66" s="492">
        <f>+AA65</f>
        <v>15741595.899621205</v>
      </c>
      <c r="AB66" s="476">
        <f>+AB65</f>
        <v>450833.29545454547</v>
      </c>
      <c r="AC66" s="476">
        <f t="shared" si="14"/>
        <v>15290762.60416666</v>
      </c>
      <c r="AD66" s="493">
        <f>+AA$29*AC66+AB66</f>
        <v>2271466.7155171004</v>
      </c>
      <c r="AE66" s="492">
        <f>+AE65</f>
        <v>158627.07954545465</v>
      </c>
      <c r="AF66" s="476">
        <f>+AF65</f>
        <v>4597.886363636364</v>
      </c>
      <c r="AG66" s="476">
        <f t="shared" si="15"/>
        <v>154029.19318181829</v>
      </c>
      <c r="AH66" s="493">
        <f>+AE$29*AG66+AF66</f>
        <v>22937.762799601285</v>
      </c>
      <c r="AI66" s="492">
        <f>+AI65</f>
        <v>10590449.640151516</v>
      </c>
      <c r="AJ66" s="476">
        <f>+AJ65</f>
        <v>295547.43181818182</v>
      </c>
      <c r="AK66" s="476">
        <f t="shared" si="19"/>
        <v>10294902.208333334</v>
      </c>
      <c r="AL66" s="493">
        <f>+AI$29*AK66+AJ66</f>
        <v>1521336.0665629276</v>
      </c>
      <c r="AM66" s="492">
        <f>+AM65</f>
        <v>3935775.5067045442</v>
      </c>
      <c r="AN66" s="476">
        <f>+AN65</f>
        <v>110866.91568181818</v>
      </c>
      <c r="AO66" s="476">
        <f t="shared" si="16"/>
        <v>3824908.5910227261</v>
      </c>
      <c r="AP66" s="493">
        <f>+AM$29*AO66+AN66</f>
        <v>566289.35534501472</v>
      </c>
      <c r="AQ66" s="492">
        <f>+AQ65</f>
        <v>32351327.482500009</v>
      </c>
      <c r="AR66" s="476">
        <f>+AR65</f>
        <v>904932.23727272719</v>
      </c>
      <c r="AS66" s="476">
        <f t="shared" si="17"/>
        <v>31446395.245227281</v>
      </c>
      <c r="AT66" s="493">
        <f>+AQ$29*AS66+AR66</f>
        <v>4649177.0212677391</v>
      </c>
      <c r="AU66" s="576">
        <f>+AU65</f>
        <v>21625000</v>
      </c>
      <c r="AV66" s="575">
        <f>+AV65</f>
        <v>750000</v>
      </c>
      <c r="AW66" s="575">
        <f t="shared" si="1"/>
        <v>20875000</v>
      </c>
      <c r="AX66" s="558">
        <f>+AU$29*AW66+AV66</f>
        <v>750000</v>
      </c>
      <c r="AY66" s="576">
        <f>+AY65</f>
        <v>14083333.333333332</v>
      </c>
      <c r="AZ66" s="575">
        <f>+AZ65</f>
        <v>500000</v>
      </c>
      <c r="BA66" s="575">
        <f t="shared" si="2"/>
        <v>13583333.333333332</v>
      </c>
      <c r="BB66" s="558">
        <f>+AY$29*BA66+AZ66</f>
        <v>500000</v>
      </c>
      <c r="BC66" s="576">
        <f>+BC65</f>
        <v>22000000</v>
      </c>
      <c r="BD66" s="575">
        <f>+BD65</f>
        <v>750000</v>
      </c>
      <c r="BE66" s="575">
        <f t="shared" si="4"/>
        <v>21250000</v>
      </c>
      <c r="BF66" s="558">
        <f>+BC$29*BE66+BD66</f>
        <v>750000</v>
      </c>
      <c r="BG66" s="576">
        <f>+BG65</f>
        <v>14238095.238095243</v>
      </c>
      <c r="BH66" s="575">
        <f>+BH65</f>
        <v>571428.57142857148</v>
      </c>
      <c r="BI66" s="575">
        <f t="shared" si="5"/>
        <v>13666666.666666672</v>
      </c>
      <c r="BJ66" s="558">
        <f>+BG$29*BI66+BH66</f>
        <v>571428.57142857148</v>
      </c>
      <c r="BK66" s="576">
        <f>+BK65</f>
        <v>18800000</v>
      </c>
      <c r="BL66" s="575">
        <f>+BL65</f>
        <v>1200000</v>
      </c>
      <c r="BM66" s="575">
        <f t="shared" si="9"/>
        <v>17600000</v>
      </c>
      <c r="BN66" s="558">
        <f>+BK$29*BM66+BL66</f>
        <v>1200000</v>
      </c>
      <c r="BO66" s="576">
        <f>+BO65</f>
        <v>13833333.33333333</v>
      </c>
      <c r="BP66" s="575">
        <f>+BP65</f>
        <v>666666.66666666663</v>
      </c>
      <c r="BQ66" s="575">
        <f t="shared" si="10"/>
        <v>13166666.666666664</v>
      </c>
      <c r="BR66" s="558">
        <f>+BO$29*BQ66+BP66</f>
        <v>666666.66666666663</v>
      </c>
      <c r="BS66" s="492">
        <f>+BS65</f>
        <v>299191.90909090918</v>
      </c>
      <c r="BT66" s="476">
        <f>+BT65</f>
        <v>8310.886363636364</v>
      </c>
      <c r="BU66" s="476">
        <f t="shared" si="18"/>
        <v>290881.02272727282</v>
      </c>
      <c r="BV66" s="493">
        <f>+BS$29*BU66+BT66</f>
        <v>42945.372880020979</v>
      </c>
      <c r="BW66" s="492">
        <f>+BW65</f>
        <v>21054704.795454551</v>
      </c>
      <c r="BX66" s="476">
        <f>+BX65</f>
        <v>576841.22727272729</v>
      </c>
      <c r="BY66" s="476">
        <f t="shared" si="20"/>
        <v>20477863.568181824</v>
      </c>
      <c r="BZ66" s="493">
        <f>+BW$29*BY66+BX66</f>
        <v>2881609.8183194762</v>
      </c>
      <c r="CA66" s="492">
        <f>+CA65</f>
        <v>1991374.2400000007</v>
      </c>
      <c r="CB66" s="476">
        <f>+CB65</f>
        <v>54433.919999999998</v>
      </c>
      <c r="CC66" s="476">
        <f t="shared" si="21"/>
        <v>1936940.3200000008</v>
      </c>
      <c r="CD66" s="493">
        <f>+CA$29*CC66+CB66</f>
        <v>285060.63042304438</v>
      </c>
      <c r="CE66" s="492">
        <f>+CE65</f>
        <v>171282.30454545459</v>
      </c>
      <c r="CF66" s="476">
        <f>+CF65</f>
        <v>4725.0290909090909</v>
      </c>
      <c r="CG66" s="476">
        <f t="shared" si="22"/>
        <v>166557.27545454551</v>
      </c>
      <c r="CH66" s="493">
        <f>+CE$29*CG66+CF66</f>
        <v>24556.593408340766</v>
      </c>
      <c r="CI66" s="492">
        <f>+CI65</f>
        <v>459481.36363636353</v>
      </c>
      <c r="CJ66" s="476">
        <f>+CJ65</f>
        <v>12362.727272727272</v>
      </c>
      <c r="CK66" s="476">
        <f t="shared" si="23"/>
        <v>447118.63636363624</v>
      </c>
      <c r="CL66" s="493">
        <f>+CI$29*CK66+CJ66</f>
        <v>62685.603295973357</v>
      </c>
      <c r="CM66" s="492">
        <f>+CM65</f>
        <v>20194126.340056818</v>
      </c>
      <c r="CN66" s="476">
        <f>+CN65</f>
        <v>483691.64886363636</v>
      </c>
      <c r="CO66" s="476">
        <f t="shared" si="33"/>
        <v>19710434.691193182</v>
      </c>
      <c r="CP66" s="493">
        <f>+CM$29*CO66+CN66</f>
        <v>2702086.6802049698</v>
      </c>
      <c r="CQ66" s="492">
        <f>+CQ65</f>
        <v>84240476.510284081</v>
      </c>
      <c r="CR66" s="476">
        <f>+CR65</f>
        <v>2017735.9643181816</v>
      </c>
      <c r="CS66" s="476">
        <f t="shared" si="38"/>
        <v>82222740.545965895</v>
      </c>
      <c r="CT66" s="493">
        <f>+CQ$29*CS66+CR66</f>
        <v>11271845.37124758</v>
      </c>
      <c r="CU66" s="492">
        <f>+CU65</f>
        <v>28400205.645000003</v>
      </c>
      <c r="CV66" s="476">
        <f>+CV65</f>
        <v>676195.37250000006</v>
      </c>
      <c r="CW66" s="476">
        <f t="shared" si="39"/>
        <v>27724010.272500005</v>
      </c>
      <c r="CX66" s="493">
        <f>+CU$29*CW66+CV66</f>
        <v>3796512.4837634144</v>
      </c>
      <c r="CY66" s="492">
        <f>+CY65</f>
        <v>31183.26420454551</v>
      </c>
      <c r="CZ66" s="476">
        <f>+CZ65</f>
        <v>733.72386363636497</v>
      </c>
      <c r="DA66" s="476">
        <f t="shared" si="40"/>
        <v>30449.540340909145</v>
      </c>
      <c r="DB66" s="493">
        <f>+CY$29*DA66+CZ66</f>
        <v>4160.7973938351661</v>
      </c>
      <c r="DC66" s="492">
        <f>+DC65</f>
        <v>1881420.9227272726</v>
      </c>
      <c r="DD66" s="476">
        <f>+DD65</f>
        <v>44530.672727272722</v>
      </c>
      <c r="DE66" s="476">
        <f t="shared" si="41"/>
        <v>1836890.25</v>
      </c>
      <c r="DF66" s="493">
        <f>+DC$29*DE66+DD66</f>
        <v>251271.32901224383</v>
      </c>
      <c r="DG66" s="492">
        <f>+DG65</f>
        <v>1047177.6585227272</v>
      </c>
      <c r="DH66" s="476">
        <f>+DH65</f>
        <v>24639.474318181816</v>
      </c>
      <c r="DI66" s="476">
        <f t="shared" si="42"/>
        <v>1022538.1842045453</v>
      </c>
      <c r="DJ66" s="493">
        <f>+DG$29*DI66+DH66</f>
        <v>139725.40026225516</v>
      </c>
      <c r="DK66" s="492">
        <f>+DK65</f>
        <v>23177279.77375</v>
      </c>
      <c r="DL66" s="476">
        <f>+DL65</f>
        <v>549658.80886363634</v>
      </c>
      <c r="DM66" s="476">
        <f t="shared" si="43"/>
        <v>22627620.964886364</v>
      </c>
      <c r="DN66" s="493">
        <f>+DK$29*DM66+DL66</f>
        <v>3096381.025091948</v>
      </c>
      <c r="DO66" s="492">
        <f>+DO65</f>
        <v>845751.71678030258</v>
      </c>
      <c r="DP66" s="476">
        <f>+DP65</f>
        <v>19592.703863636354</v>
      </c>
      <c r="DQ66" s="476">
        <f t="shared" si="57"/>
        <v>826159.01291666622</v>
      </c>
      <c r="DR66" s="493">
        <f t="shared" si="62"/>
        <v>112576.29748123843</v>
      </c>
      <c r="DS66" s="492">
        <f>+DS65</f>
        <v>360865.24363636231</v>
      </c>
      <c r="DT66" s="476">
        <f>+DT65</f>
        <v>8295.7527272726966</v>
      </c>
      <c r="DU66" s="476">
        <f t="shared" si="58"/>
        <v>352569.49090908963</v>
      </c>
      <c r="DV66" s="493">
        <f t="shared" si="63"/>
        <v>47977.19147224036</v>
      </c>
      <c r="DW66" s="492">
        <f>+DW65</f>
        <v>52841.267443181816</v>
      </c>
      <c r="DX66" s="476">
        <f>+DX65</f>
        <v>1221.7634090909089</v>
      </c>
      <c r="DY66" s="476">
        <f t="shared" si="59"/>
        <v>51619.504034090904</v>
      </c>
      <c r="DZ66" s="493">
        <f t="shared" si="64"/>
        <v>7031.5008940128664</v>
      </c>
      <c r="EA66" s="492">
        <f>+EA65</f>
        <v>-312699.91153409291</v>
      </c>
      <c r="EB66" s="476">
        <f>+EB65</f>
        <v>-7120.3015909091364</v>
      </c>
      <c r="EC66" s="476">
        <f t="shared" si="60"/>
        <v>-305579.60994318378</v>
      </c>
      <c r="ED66" s="493">
        <f t="shared" si="65"/>
        <v>-41513.063546589008</v>
      </c>
      <c r="EE66" s="492"/>
      <c r="EF66" s="476"/>
      <c r="EG66" s="476"/>
      <c r="EH66" s="493"/>
      <c r="EI66" s="492"/>
      <c r="EJ66" s="476"/>
      <c r="EK66" s="476"/>
      <c r="EL66" s="493"/>
      <c r="EM66" s="492"/>
      <c r="EN66" s="476"/>
      <c r="EO66" s="476"/>
      <c r="EP66" s="493"/>
      <c r="EQ66" s="492"/>
      <c r="ER66" s="476"/>
      <c r="ES66" s="476"/>
      <c r="ET66" s="493"/>
      <c r="EU66" s="492"/>
      <c r="EV66" s="476"/>
      <c r="EW66" s="476"/>
      <c r="EX66" s="493"/>
      <c r="EY66" s="582">
        <f t="shared" si="3"/>
        <v>42292231.643440753</v>
      </c>
      <c r="EZ66" s="579">
        <f>+EY66</f>
        <v>42292231.643440753</v>
      </c>
      <c r="FA66" s="553"/>
      <c r="FB66" s="758"/>
      <c r="FD66" s="492">
        <f>+FD65</f>
        <v>6565348.4333333354</v>
      </c>
      <c r="FE66" s="476">
        <f>+FE65</f>
        <v>1270712.6000000001</v>
      </c>
      <c r="FF66" s="476">
        <f t="shared" si="24"/>
        <v>5294635.8333333358</v>
      </c>
      <c r="FG66" s="493">
        <f t="shared" si="44"/>
        <v>1970314.5784431035</v>
      </c>
      <c r="FH66" s="492">
        <f>+FH65</f>
        <v>5366426.3999999985</v>
      </c>
      <c r="FI66" s="476">
        <f>+FI65</f>
        <v>894404.4</v>
      </c>
      <c r="FJ66" s="476">
        <f t="shared" si="25"/>
        <v>4472021.9999999981</v>
      </c>
      <c r="FK66" s="493">
        <f t="shared" si="45"/>
        <v>1485311.0340586058</v>
      </c>
      <c r="FL66" s="492">
        <f>+FL65</f>
        <v>831046.66341666644</v>
      </c>
      <c r="FM66" s="476">
        <f>+FM65</f>
        <v>140458.59099999999</v>
      </c>
      <c r="FN66" s="476">
        <f t="shared" si="26"/>
        <v>690588.07241666643</v>
      </c>
      <c r="FO66" s="493">
        <f t="shared" si="46"/>
        <v>231708.82934693861</v>
      </c>
      <c r="FP66" s="492">
        <f>+FP65</f>
        <v>101761.80000000002</v>
      </c>
      <c r="FQ66" s="476">
        <f>+FQ65</f>
        <v>16960.3</v>
      </c>
      <c r="FR66" s="476">
        <f t="shared" si="27"/>
        <v>84801.500000000015</v>
      </c>
      <c r="FS66" s="493">
        <f t="shared" si="47"/>
        <v>28165.470486218735</v>
      </c>
      <c r="FT66" s="492">
        <f>+FT65</f>
        <v>7731.6803333333337</v>
      </c>
      <c r="FU66" s="476">
        <f>+FU65</f>
        <v>1253.7860000000001</v>
      </c>
      <c r="FV66" s="476">
        <f t="shared" si="32"/>
        <v>6477.8943333333336</v>
      </c>
      <c r="FW66" s="493">
        <f t="shared" si="48"/>
        <v>2109.7367838506425</v>
      </c>
      <c r="FX66" s="492">
        <f>+FX65</f>
        <v>25207874.874999996</v>
      </c>
      <c r="FY66" s="476">
        <f>+FY65</f>
        <v>4033259.9799999995</v>
      </c>
      <c r="FZ66" s="476">
        <f t="shared" si="28"/>
        <v>21174614.894999996</v>
      </c>
      <c r="GA66" s="493">
        <f t="shared" si="49"/>
        <v>6831148.8130808007</v>
      </c>
      <c r="GB66" s="492">
        <f>+GB65</f>
        <v>349267.83483333339</v>
      </c>
      <c r="GC66" s="476">
        <f>+GC65</f>
        <v>53053.342000000004</v>
      </c>
      <c r="GD66" s="476">
        <f t="shared" si="29"/>
        <v>296214.49283333338</v>
      </c>
      <c r="GE66" s="493">
        <f t="shared" si="50"/>
        <v>92193.379531014405</v>
      </c>
      <c r="GF66" s="492">
        <f>+GF65</f>
        <v>-354885.73549999984</v>
      </c>
      <c r="GG66" s="476">
        <f>+GG65</f>
        <v>-53906.693999999974</v>
      </c>
      <c r="GH66" s="476">
        <f t="shared" si="30"/>
        <v>-300979.04149999988</v>
      </c>
      <c r="GI66" s="493">
        <f t="shared" si="51"/>
        <v>-93676.290914986166</v>
      </c>
      <c r="GJ66" s="492">
        <f>+GJ65</f>
        <v>22738072.131833337</v>
      </c>
      <c r="GK66" s="476">
        <f>+GK65</f>
        <v>3327522.7509999997</v>
      </c>
      <c r="GL66" s="476">
        <f t="shared" si="31"/>
        <v>19410549.380833339</v>
      </c>
      <c r="GM66" s="493">
        <f t="shared" si="52"/>
        <v>5892318.3624385353</v>
      </c>
      <c r="GN66" s="492">
        <f>+GN65</f>
        <v>344350.25474999996</v>
      </c>
      <c r="GO66" s="476">
        <f>+GO65</f>
        <v>49785.578999999998</v>
      </c>
      <c r="GP66" s="476">
        <f t="shared" si="36"/>
        <v>294564.67574999994</v>
      </c>
      <c r="GQ66" s="493">
        <f t="shared" si="53"/>
        <v>88707.619423771859</v>
      </c>
      <c r="GR66" s="492">
        <f>+GR65</f>
        <v>1317046.4324999999</v>
      </c>
      <c r="GS66" s="476">
        <f>+GS65</f>
        <v>175606.19100000002</v>
      </c>
      <c r="GT66" s="476">
        <f t="shared" si="37"/>
        <v>1141440.2414999998</v>
      </c>
      <c r="GU66" s="493">
        <f t="shared" si="54"/>
        <v>326429.37815869623</v>
      </c>
      <c r="GV66" s="492">
        <f>+GV65</f>
        <v>31030642.99741666</v>
      </c>
      <c r="GW66" s="476">
        <f>+GW65</f>
        <v>3686809.0689999992</v>
      </c>
      <c r="GX66" s="476">
        <f t="shared" si="55"/>
        <v>27343833.928416662</v>
      </c>
      <c r="GY66" s="493">
        <f t="shared" si="56"/>
        <v>7299862.150782289</v>
      </c>
      <c r="GZ66" s="492">
        <f>+GZ65</f>
        <v>77604460.626333341</v>
      </c>
      <c r="HA66" s="476">
        <f>+HA65</f>
        <v>8028047.6510000005</v>
      </c>
      <c r="HB66" s="476">
        <f t="shared" si="61"/>
        <v>69576412.975333333</v>
      </c>
      <c r="HC66" s="493">
        <f t="shared" si="66"/>
        <v>17221464.857159927</v>
      </c>
      <c r="HD66" s="576">
        <f>+HD65</f>
        <v>-531831</v>
      </c>
      <c r="HE66" s="580">
        <f>+HE65</f>
        <v>-48751.175000000003</v>
      </c>
      <c r="HF66" s="580">
        <f t="shared" ref="HF66:HF86" si="67">+HD66-HE66</f>
        <v>-483079.82500000001</v>
      </c>
      <c r="HG66" s="918">
        <f>+(((HD$29*HF66)*(12-HD$32)/12))+HE66</f>
        <v>-107263.21957208385</v>
      </c>
      <c r="HH66" s="576">
        <f>+HH65</f>
        <v>1297564</v>
      </c>
      <c r="HI66" s="575">
        <f>+HI65</f>
        <v>86504.266666666663</v>
      </c>
      <c r="HJ66" s="575">
        <f t="shared" ref="HJ66:HJ86" si="68">+HH66-HI66</f>
        <v>1211059.7333333334</v>
      </c>
      <c r="HK66" s="918">
        <f>+(((HH$29*HJ66)*(12-HH$32)/12))+HI66</f>
        <v>193185.79770086298</v>
      </c>
      <c r="HL66" s="576"/>
      <c r="HM66" s="575"/>
      <c r="HN66" s="575"/>
      <c r="HO66" s="918"/>
      <c r="HP66" s="576"/>
      <c r="HQ66" s="575"/>
      <c r="HR66" s="575"/>
      <c r="HS66" s="918"/>
      <c r="HT66" s="576"/>
      <c r="HU66" s="575"/>
      <c r="HV66" s="575"/>
      <c r="HW66" s="918"/>
      <c r="HY66" s="492"/>
      <c r="HZ66" s="476"/>
      <c r="IA66" s="476"/>
      <c r="IB66" s="493"/>
      <c r="IC66" s="492"/>
      <c r="ID66" s="476"/>
      <c r="IE66" s="476"/>
      <c r="IF66" s="493"/>
      <c r="IG66" s="492"/>
      <c r="IH66" s="476"/>
      <c r="II66" s="476"/>
      <c r="IJ66" s="493"/>
    </row>
    <row r="67" spans="1:244">
      <c r="A67" s="554" t="s">
        <v>24</v>
      </c>
      <c r="B67" s="574">
        <f t="shared" si="0"/>
        <v>2020</v>
      </c>
      <c r="C67" s="575">
        <f>+E66</f>
        <v>14599687.47897727</v>
      </c>
      <c r="D67" s="575">
        <f>+C$31</f>
        <v>445791.98409090913</v>
      </c>
      <c r="E67" s="575">
        <f t="shared" si="6"/>
        <v>14153895.494886361</v>
      </c>
      <c r="F67" s="558">
        <f>+C$28*E67+D67</f>
        <v>2038802.5864400163</v>
      </c>
      <c r="G67" s="575">
        <f>+I66</f>
        <v>3764824.3602272701</v>
      </c>
      <c r="H67" s="575">
        <f>+G$31</f>
        <v>115840.74954545456</v>
      </c>
      <c r="I67" s="575">
        <f t="shared" si="7"/>
        <v>3648983.6106818155</v>
      </c>
      <c r="J67" s="558">
        <f>+G$28*I67+H67</f>
        <v>526531.19033006974</v>
      </c>
      <c r="K67" s="576">
        <f>+M66</f>
        <v>9697077.4160795398</v>
      </c>
      <c r="L67" s="575">
        <f>+K$31</f>
        <v>305419.76113636367</v>
      </c>
      <c r="M67" s="575">
        <f t="shared" si="8"/>
        <v>9391657.6549431756</v>
      </c>
      <c r="N67" s="558">
        <f>+K$28*M67+L67</f>
        <v>1362443.9721292222</v>
      </c>
      <c r="O67" s="576">
        <f>+Q66</f>
        <v>4036868.7651515137</v>
      </c>
      <c r="P67" s="575">
        <f>+O$31</f>
        <v>119316.31818181818</v>
      </c>
      <c r="Q67" s="575">
        <f t="shared" si="11"/>
        <v>3917552.4469696954</v>
      </c>
      <c r="R67" s="558">
        <f>+O$28*Q67+P67</f>
        <v>560233.98537358933</v>
      </c>
      <c r="S67" s="492">
        <f>+U66</f>
        <v>1875821.858787877</v>
      </c>
      <c r="T67" s="476">
        <f>+S$31</f>
        <v>58315.705454545445</v>
      </c>
      <c r="U67" s="476">
        <f t="shared" si="12"/>
        <v>1817506.1533333315</v>
      </c>
      <c r="V67" s="493">
        <f>+S$28*U67+T67</f>
        <v>262874.69581453362</v>
      </c>
      <c r="W67" s="492">
        <f>+Y66</f>
        <v>23456433.928030305</v>
      </c>
      <c r="X67" s="476">
        <f>+W$31</f>
        <v>693293.61363636365</v>
      </c>
      <c r="Y67" s="476">
        <f t="shared" si="13"/>
        <v>22763140.314393941</v>
      </c>
      <c r="Z67" s="493">
        <f>+W$28*Y67+X67</f>
        <v>3255268.4336914471</v>
      </c>
      <c r="AA67" s="492">
        <f>+AC66</f>
        <v>15290762.60416666</v>
      </c>
      <c r="AB67" s="476">
        <f>+AA$31</f>
        <v>450833.29545454547</v>
      </c>
      <c r="AC67" s="476">
        <f t="shared" si="14"/>
        <v>14839929.308712116</v>
      </c>
      <c r="AD67" s="493">
        <f>+AA$28*AC67+AB67</f>
        <v>2121056.502587209</v>
      </c>
      <c r="AE67" s="492">
        <f>+AG66</f>
        <v>154029.19318181829</v>
      </c>
      <c r="AF67" s="476">
        <f>+AE$31</f>
        <v>4597.886363636364</v>
      </c>
      <c r="AG67" s="476">
        <f t="shared" si="15"/>
        <v>149431.30681818194</v>
      </c>
      <c r="AH67" s="493">
        <f>+AE$28*AG67+AF67</f>
        <v>21416.270826786415</v>
      </c>
      <c r="AI67" s="492">
        <f>+AK66</f>
        <v>10294902.208333334</v>
      </c>
      <c r="AJ67" s="476">
        <f>+AI$31</f>
        <v>295547.43181818182</v>
      </c>
      <c r="AK67" s="476">
        <f t="shared" si="19"/>
        <v>9999354.7765151523</v>
      </c>
      <c r="AL67" s="493">
        <f>+AI$28*AK67+AJ67</f>
        <v>1420967.510085244</v>
      </c>
      <c r="AM67" s="492">
        <f>+AO66</f>
        <v>3824908.5910227261</v>
      </c>
      <c r="AN67" s="476">
        <f>+AM$31</f>
        <v>110866.91568181818</v>
      </c>
      <c r="AO67" s="476">
        <f t="shared" si="16"/>
        <v>3714041.6753409081</v>
      </c>
      <c r="AP67" s="493">
        <f>+AM$28*AO67+AN67</f>
        <v>528879.59413645801</v>
      </c>
      <c r="AQ67" s="492">
        <f>+AS66</f>
        <v>31446395.245227281</v>
      </c>
      <c r="AR67" s="476">
        <f>+AQ$31</f>
        <v>904932.23727272719</v>
      </c>
      <c r="AS67" s="476">
        <f t="shared" si="17"/>
        <v>30541463.007954553</v>
      </c>
      <c r="AT67" s="493">
        <f>+AQ$28*AS67+AR67</f>
        <v>4342351.5965227922</v>
      </c>
      <c r="AU67" s="576">
        <f>+AW66</f>
        <v>20875000</v>
      </c>
      <c r="AV67" s="575">
        <f>+AU$31</f>
        <v>750000</v>
      </c>
      <c r="AW67" s="575">
        <f t="shared" si="1"/>
        <v>20125000</v>
      </c>
      <c r="AX67" s="558">
        <f>+AU$28*AW67+AV67</f>
        <v>750000</v>
      </c>
      <c r="AY67" s="576">
        <f>+BA66</f>
        <v>13583333.333333332</v>
      </c>
      <c r="AZ67" s="575">
        <f>+AY$31</f>
        <v>500000</v>
      </c>
      <c r="BA67" s="575">
        <f t="shared" si="2"/>
        <v>13083333.333333332</v>
      </c>
      <c r="BB67" s="558">
        <f>+AY$28*BA67+AZ67</f>
        <v>500000</v>
      </c>
      <c r="BC67" s="576">
        <f>+BE66</f>
        <v>21250000</v>
      </c>
      <c r="BD67" s="575">
        <f>+BC$31</f>
        <v>750000</v>
      </c>
      <c r="BE67" s="575">
        <f t="shared" si="4"/>
        <v>20500000</v>
      </c>
      <c r="BF67" s="558">
        <f>+BC$28*BE67+BD67</f>
        <v>750000</v>
      </c>
      <c r="BG67" s="576">
        <f>+BI66</f>
        <v>13666666.666666672</v>
      </c>
      <c r="BH67" s="575">
        <f>+BG$31</f>
        <v>571428.57142857148</v>
      </c>
      <c r="BI67" s="575">
        <f t="shared" si="5"/>
        <v>13095238.095238101</v>
      </c>
      <c r="BJ67" s="558">
        <f>+BG$28*BI67+BH67</f>
        <v>571428.57142857148</v>
      </c>
      <c r="BK67" s="576">
        <f>+BM66</f>
        <v>17600000</v>
      </c>
      <c r="BL67" s="575">
        <f>+BK$31</f>
        <v>1200000</v>
      </c>
      <c r="BM67" s="575">
        <f t="shared" si="9"/>
        <v>16400000</v>
      </c>
      <c r="BN67" s="558">
        <f>+BK$28*BM67+BL67</f>
        <v>1200000</v>
      </c>
      <c r="BO67" s="576">
        <f>+BQ66</f>
        <v>13166666.666666664</v>
      </c>
      <c r="BP67" s="575">
        <f>+BO$31</f>
        <v>666666.66666666663</v>
      </c>
      <c r="BQ67" s="575">
        <f t="shared" si="10"/>
        <v>12499999.999999998</v>
      </c>
      <c r="BR67" s="558">
        <f>+BO$28*BQ67+BP67</f>
        <v>666666.66666666663</v>
      </c>
      <c r="BS67" s="492">
        <f>+BU66</f>
        <v>290881.02272727282</v>
      </c>
      <c r="BT67" s="476">
        <f>+BS$31</f>
        <v>8310.886363636364</v>
      </c>
      <c r="BU67" s="476">
        <f t="shared" si="18"/>
        <v>282570.13636363647</v>
      </c>
      <c r="BV67" s="493">
        <f>+BS$28*BU67+BT67</f>
        <v>40113.948870148102</v>
      </c>
      <c r="BW67" s="492">
        <f>+BY66</f>
        <v>20477863.568181824</v>
      </c>
      <c r="BX67" s="476">
        <f>+BW$31</f>
        <v>576841.22727272729</v>
      </c>
      <c r="BY67" s="476">
        <f t="shared" si="20"/>
        <v>19901022.340909097</v>
      </c>
      <c r="BZ67" s="493">
        <f>+BW$28*BY67+BX67</f>
        <v>2816686.7594167506</v>
      </c>
      <c r="CA67" s="492">
        <f>+CC66</f>
        <v>1936940.3200000008</v>
      </c>
      <c r="CB67" s="476">
        <f>+CA$31</f>
        <v>54433.919999999998</v>
      </c>
      <c r="CC67" s="476">
        <f t="shared" si="21"/>
        <v>1882506.4000000008</v>
      </c>
      <c r="CD67" s="493">
        <f>+CA$28*CC67+CB67</f>
        <v>266308.64065718598</v>
      </c>
      <c r="CE67" s="492">
        <f>+CG66</f>
        <v>166557.27545454551</v>
      </c>
      <c r="CF67" s="476">
        <f>+CE$31</f>
        <v>4725.0290909090909</v>
      </c>
      <c r="CG67" s="476">
        <f t="shared" si="22"/>
        <v>161832.24636363643</v>
      </c>
      <c r="CH67" s="493">
        <f>+CE$28*CG67+CF67</f>
        <v>22939.130244360869</v>
      </c>
      <c r="CI67" s="492">
        <f>+CK66</f>
        <v>447118.63636363624</v>
      </c>
      <c r="CJ67" s="476">
        <f>+CI$31</f>
        <v>12362.727272727272</v>
      </c>
      <c r="CK67" s="476">
        <f t="shared" si="23"/>
        <v>434755.90909090894</v>
      </c>
      <c r="CL67" s="493">
        <f>+CI$28*CK67+CJ67</f>
        <v>61294.187369063322</v>
      </c>
      <c r="CM67" s="492">
        <f>+CO66</f>
        <v>19710434.691193182</v>
      </c>
      <c r="CN67" s="476">
        <f>+CM$31</f>
        <v>483691.64886363636</v>
      </c>
      <c r="CO67" s="476">
        <f t="shared" si="33"/>
        <v>19226743.042329546</v>
      </c>
      <c r="CP67" s="493">
        <f>+CM$28*CO67+CN67</f>
        <v>2647647.5383315631</v>
      </c>
      <c r="CQ67" s="492">
        <f>+CS66</f>
        <v>82222740.545965895</v>
      </c>
      <c r="CR67" s="476">
        <f>+CQ$31</f>
        <v>2017735.9643181816</v>
      </c>
      <c r="CS67" s="476">
        <f t="shared" si="38"/>
        <v>80205004.581647709</v>
      </c>
      <c r="CT67" s="493">
        <f>+CQ$28*CS67+CR67</f>
        <v>11044750.661875078</v>
      </c>
      <c r="CU67" s="492">
        <f>+CW66</f>
        <v>27724010.272500005</v>
      </c>
      <c r="CV67" s="476">
        <f>+CU$31</f>
        <v>676195.37250000006</v>
      </c>
      <c r="CW67" s="476">
        <f t="shared" si="39"/>
        <v>27047814.900000006</v>
      </c>
      <c r="CX67" s="493">
        <f>+CU$28*CW67+CV67</f>
        <v>3720407.1883667461</v>
      </c>
      <c r="CY67" s="492">
        <f>+DA66</f>
        <v>30449.540340909145</v>
      </c>
      <c r="CZ67" s="476">
        <f>+CY$31</f>
        <v>733.72386363636497</v>
      </c>
      <c r="DA67" s="476">
        <f t="shared" si="40"/>
        <v>29715.81647727278</v>
      </c>
      <c r="DB67" s="493">
        <f>+CY$28*DA67+CZ67</f>
        <v>4078.2173087701353</v>
      </c>
      <c r="DC67" s="492">
        <f>+DE66</f>
        <v>1836890.25</v>
      </c>
      <c r="DD67" s="476">
        <f>+DC$31</f>
        <v>44530.672727272722</v>
      </c>
      <c r="DE67" s="476">
        <f t="shared" si="41"/>
        <v>1792359.5772727274</v>
      </c>
      <c r="DF67" s="493">
        <f>+DC$28*DE67+DD67</f>
        <v>246259.43431442635</v>
      </c>
      <c r="DG67" s="492">
        <f>+DI66</f>
        <v>1022538.1842045453</v>
      </c>
      <c r="DH67" s="476">
        <f>+DG$31</f>
        <v>24639.474318181816</v>
      </c>
      <c r="DI67" s="476">
        <f t="shared" si="42"/>
        <v>997898.70988636347</v>
      </c>
      <c r="DJ67" s="493">
        <f>+DG$28*DI67+DH67</f>
        <v>136952.2454202293</v>
      </c>
      <c r="DK67" s="492">
        <f>+DM66</f>
        <v>22627620.964886364</v>
      </c>
      <c r="DL67" s="476">
        <f>+DK$31</f>
        <v>549658.80886363634</v>
      </c>
      <c r="DM67" s="476">
        <f t="shared" si="43"/>
        <v>22077962.156022727</v>
      </c>
      <c r="DN67" s="493">
        <f>+DK$28*DM67+DL67</f>
        <v>3034517.3275317466</v>
      </c>
      <c r="DO67" s="492">
        <f>+DQ66</f>
        <v>826159.01291666622</v>
      </c>
      <c r="DP67" s="476">
        <f>+DP65</f>
        <v>19592.703863636354</v>
      </c>
      <c r="DQ67" s="476">
        <f t="shared" si="57"/>
        <v>806566.30905302987</v>
      </c>
      <c r="DR67" s="493">
        <f t="shared" si="62"/>
        <v>110371.15296856803</v>
      </c>
      <c r="DS67" s="492">
        <f>+DU66</f>
        <v>352569.49090908963</v>
      </c>
      <c r="DT67" s="476">
        <f>+DT65</f>
        <v>8295.7527272726966</v>
      </c>
      <c r="DU67" s="476">
        <f t="shared" si="58"/>
        <v>344273.73818181694</v>
      </c>
      <c r="DV67" s="493">
        <f t="shared" si="63"/>
        <v>47043.510560594063</v>
      </c>
      <c r="DW67" s="492">
        <f>+DY66</f>
        <v>51619.504034090904</v>
      </c>
      <c r="DX67" s="476">
        <f>+DX65</f>
        <v>1221.7634090909089</v>
      </c>
      <c r="DY67" s="476">
        <f t="shared" si="59"/>
        <v>50397.740624999991</v>
      </c>
      <c r="DZ67" s="493">
        <f t="shared" si="64"/>
        <v>6893.9923144880859</v>
      </c>
      <c r="EA67" s="492">
        <f>+EC66</f>
        <v>-305579.60994318378</v>
      </c>
      <c r="EB67" s="476">
        <f>+EB65</f>
        <v>-7120.3015909091364</v>
      </c>
      <c r="EC67" s="476">
        <f t="shared" si="60"/>
        <v>-298459.30835227465</v>
      </c>
      <c r="ED67" s="493">
        <f t="shared" si="65"/>
        <v>-40711.678801990645</v>
      </c>
      <c r="EE67" s="492">
        <f>+EE30</f>
        <v>8469799.4400000013</v>
      </c>
      <c r="EF67" s="476">
        <f>+EE$31/12*(12-EE$32)</f>
        <v>112289.00772727275</v>
      </c>
      <c r="EG67" s="476">
        <f t="shared" ref="EG67:EG130" si="69">+EE67-EF67</f>
        <v>8357510.4322727285</v>
      </c>
      <c r="EH67" s="493">
        <f>+(((EE$28*EG67)*(12-EE$32)/12))+EF67</f>
        <v>660990.83053785772</v>
      </c>
      <c r="EI67" s="576">
        <f>+EI30</f>
        <v>338632.87</v>
      </c>
      <c r="EJ67" s="580">
        <f>+EI$31/12*(12-EI$32)</f>
        <v>1282.7002651515152</v>
      </c>
      <c r="EK67" s="580">
        <f t="shared" ref="EK67:EK130" si="70">+EI67-EJ67</f>
        <v>337350.16973484849</v>
      </c>
      <c r="EL67" s="493">
        <f>+(((EI$28*EK67)*(12-EI$32)/12))+EJ67</f>
        <v>7610.7861418870252</v>
      </c>
      <c r="EM67" s="576">
        <f>+EM30</f>
        <v>11496164.189999999</v>
      </c>
      <c r="EN67" s="580">
        <f>+EM$31/12*(12-EM$32)</f>
        <v>0</v>
      </c>
      <c r="EO67" s="580">
        <f t="shared" ref="EO67:EO130" si="71">+EM67-EN67</f>
        <v>11496164.189999999</v>
      </c>
      <c r="EP67" s="493">
        <f>+(((EM$28*EO67)*(12-EM$32)/12))+EN67</f>
        <v>0</v>
      </c>
      <c r="EQ67" s="576"/>
      <c r="ER67" s="580"/>
      <c r="ES67" s="580"/>
      <c r="ET67" s="493"/>
      <c r="EU67" s="576"/>
      <c r="EV67" s="580"/>
      <c r="EW67" s="580"/>
      <c r="EX67" s="493"/>
      <c r="EY67" s="582">
        <f>+R67+J67+F67+N67+V67+Z67+AD67+AH67+AL67+AP67+AT67+BV67+BZ67+CD67+CH67+CL67+CP67+CT67+CX67+DB67+DF67+DJ67+DN67+DR67+DV67+DZ67+ED67+EH67+EL67+EP67</f>
        <v>41274980.21136485</v>
      </c>
      <c r="EZ67" s="557"/>
      <c r="FA67" s="578">
        <f>+EY67</f>
        <v>41274980.21136485</v>
      </c>
      <c r="FD67" s="492">
        <f>+FF66</f>
        <v>5294635.8333333358</v>
      </c>
      <c r="FE67" s="476">
        <f t="shared" ref="FE67:FE74" si="72">+FE66</f>
        <v>1270712.6000000001</v>
      </c>
      <c r="FF67" s="476">
        <f t="shared" si="24"/>
        <v>4023923.2333333357</v>
      </c>
      <c r="FG67" s="493">
        <f t="shared" si="44"/>
        <v>1802410.1036167587</v>
      </c>
      <c r="FH67" s="492">
        <f>+FJ66</f>
        <v>4472021.9999999981</v>
      </c>
      <c r="FI67" s="476">
        <f t="shared" ref="FI67:FI74" si="73">+FI66</f>
        <v>894404.4</v>
      </c>
      <c r="FJ67" s="476">
        <f t="shared" si="25"/>
        <v>3577617.5999999982</v>
      </c>
      <c r="FK67" s="493">
        <f t="shared" si="45"/>
        <v>1367129.7072468845</v>
      </c>
      <c r="FL67" s="492">
        <f>+FN66</f>
        <v>690588.07241666643</v>
      </c>
      <c r="FM67" s="476">
        <f t="shared" ref="FM67:FM74" si="74">+FM66</f>
        <v>140458.59099999999</v>
      </c>
      <c r="FN67" s="476">
        <f t="shared" si="26"/>
        <v>550129.48141666641</v>
      </c>
      <c r="FO67" s="493">
        <f t="shared" si="46"/>
        <v>213149.45883569686</v>
      </c>
      <c r="FP67" s="492">
        <f>+FR66</f>
        <v>84801.500000000015</v>
      </c>
      <c r="FQ67" s="476">
        <f t="shared" ref="FQ67:FQ74" si="75">+FQ66</f>
        <v>16960.3</v>
      </c>
      <c r="FR67" s="476">
        <f t="shared" si="27"/>
        <v>67841.200000000012</v>
      </c>
      <c r="FS67" s="493">
        <f t="shared" si="47"/>
        <v>25924.436388974987</v>
      </c>
      <c r="FT67" s="492">
        <f>+FV66</f>
        <v>6477.8943333333336</v>
      </c>
      <c r="FU67" s="476">
        <f t="shared" ref="FU67:FU76" si="76">+FU66</f>
        <v>1253.7860000000001</v>
      </c>
      <c r="FV67" s="476">
        <f t="shared" si="32"/>
        <v>5224.1083333333336</v>
      </c>
      <c r="FW67" s="493">
        <f t="shared" si="48"/>
        <v>1944.0688902021311</v>
      </c>
      <c r="FX67" s="492">
        <f>+FZ66</f>
        <v>21174614.894999996</v>
      </c>
      <c r="FY67" s="476">
        <f t="shared" ref="FY67:FY76" si="77">+FY66</f>
        <v>4033259.9799999995</v>
      </c>
      <c r="FZ67" s="476">
        <f t="shared" si="28"/>
        <v>17141354.914999995</v>
      </c>
      <c r="GA67" s="493">
        <f t="shared" si="49"/>
        <v>6298217.6067796946</v>
      </c>
      <c r="GB67" s="492">
        <f>+GD66</f>
        <v>296214.49283333338</v>
      </c>
      <c r="GC67" s="476">
        <f t="shared" ref="GC67:GC76" si="78">+GC66</f>
        <v>53053.342000000004</v>
      </c>
      <c r="GD67" s="476">
        <f t="shared" si="29"/>
        <v>243161.15083333338</v>
      </c>
      <c r="GE67" s="493">
        <f t="shared" si="50"/>
        <v>85183.223555310338</v>
      </c>
      <c r="GF67" s="492">
        <f>+GH66</f>
        <v>-300979.04149999988</v>
      </c>
      <c r="GG67" s="476">
        <f t="shared" ref="GG67:GG76" si="79">+GG66</f>
        <v>-53906.693999999974</v>
      </c>
      <c r="GH67" s="476">
        <f t="shared" si="30"/>
        <v>-247072.34749999992</v>
      </c>
      <c r="GI67" s="493">
        <f t="shared" si="51"/>
        <v>-86553.378034690133</v>
      </c>
      <c r="GJ67" s="492">
        <f>+GL66</f>
        <v>19410549.380833339</v>
      </c>
      <c r="GK67" s="476">
        <f t="shared" ref="GK67:GK76" si="80">+GK66</f>
        <v>3327522.7509999997</v>
      </c>
      <c r="GL67" s="476">
        <f t="shared" si="31"/>
        <v>16083026.629833339</v>
      </c>
      <c r="GM67" s="493">
        <f t="shared" si="52"/>
        <v>5452639.1147633586</v>
      </c>
      <c r="GN67" s="492">
        <f>+GP66</f>
        <v>294564.67574999994</v>
      </c>
      <c r="GO67" s="476">
        <f t="shared" ref="GO67:GO76" si="81">+GO66</f>
        <v>49785.578999999998</v>
      </c>
      <c r="GP67" s="476">
        <f t="shared" si="36"/>
        <v>244779.09674999994</v>
      </c>
      <c r="GQ67" s="493">
        <f t="shared" si="53"/>
        <v>82129.246394401969</v>
      </c>
      <c r="GR67" s="492">
        <f>+GT66</f>
        <v>1141440.2414999998</v>
      </c>
      <c r="GS67" s="476">
        <f t="shared" ref="GS67:GS76" si="82">+GS66</f>
        <v>175606.19100000002</v>
      </c>
      <c r="GT67" s="476">
        <f t="shared" si="37"/>
        <v>965834.05049999978</v>
      </c>
      <c r="GU67" s="493">
        <f t="shared" si="54"/>
        <v>303225.81090351223</v>
      </c>
      <c r="GV67" s="492">
        <f>+GX66</f>
        <v>27343833.928416662</v>
      </c>
      <c r="GW67" s="476">
        <f t="shared" ref="GW67:GW76" si="83">+GW66</f>
        <v>3686809.0689999992</v>
      </c>
      <c r="GX67" s="476">
        <f t="shared" si="55"/>
        <v>23657024.859416664</v>
      </c>
      <c r="GY67" s="493">
        <f t="shared" si="56"/>
        <v>6812708.9262723168</v>
      </c>
      <c r="GZ67" s="492">
        <f>+HB66</f>
        <v>69576412.975333333</v>
      </c>
      <c r="HA67" s="476">
        <f>+HA65</f>
        <v>8028047.6510000005</v>
      </c>
      <c r="HB67" s="476">
        <f t="shared" si="61"/>
        <v>61548365.324333332</v>
      </c>
      <c r="HC67" s="493">
        <f t="shared" si="66"/>
        <v>16160685.948756859</v>
      </c>
      <c r="HD67" s="576">
        <f>+HF66</f>
        <v>-483079.82500000001</v>
      </c>
      <c r="HE67" s="580">
        <f>+HD31</f>
        <v>-53183.1</v>
      </c>
      <c r="HF67" s="580">
        <f t="shared" si="67"/>
        <v>-429896.72500000003</v>
      </c>
      <c r="HG67" s="918">
        <f t="shared" ref="HG67:HG86" si="84">+HD$29*HF67+HE67</f>
        <v>-109987.11991818648</v>
      </c>
      <c r="HH67" s="576">
        <f>+HJ66</f>
        <v>1211059.7333333334</v>
      </c>
      <c r="HI67" s="575">
        <f>+HH31</f>
        <v>129756.4</v>
      </c>
      <c r="HJ67" s="575">
        <f t="shared" si="68"/>
        <v>1081303.3333333335</v>
      </c>
      <c r="HK67" s="918">
        <f t="shared" ref="HK67:HK86" si="85">+HH$29*HJ67+HI67</f>
        <v>272633.45049222722</v>
      </c>
      <c r="HL67" s="576">
        <f>+HL30</f>
        <v>4400963</v>
      </c>
      <c r="HM67" s="580">
        <f>+HL$31/12*(12-$HL$32)</f>
        <v>403421.60833333334</v>
      </c>
      <c r="HN67" s="580">
        <f t="shared" ref="HN67:HN88" si="86">+HL67-HM67</f>
        <v>3997541.3916666666</v>
      </c>
      <c r="HO67" s="918">
        <f>+(((HL$28*HN67)*(12-HL$32)/12))+HM67</f>
        <v>887615.54064659041</v>
      </c>
      <c r="HP67" s="576"/>
      <c r="HQ67" s="580"/>
      <c r="HR67" s="580"/>
      <c r="HS67" s="918"/>
      <c r="HT67" s="576"/>
      <c r="HU67" s="580"/>
      <c r="HV67" s="580"/>
      <c r="HW67" s="918"/>
      <c r="HX67" s="580"/>
      <c r="HY67" s="492"/>
      <c r="HZ67" s="476"/>
      <c r="IA67" s="476"/>
      <c r="IB67" s="493"/>
      <c r="IC67" s="492"/>
      <c r="ID67" s="476"/>
      <c r="IE67" s="476"/>
      <c r="IF67" s="493"/>
      <c r="IG67" s="492"/>
      <c r="IH67" s="476"/>
      <c r="II67" s="476"/>
      <c r="IJ67" s="493"/>
    </row>
    <row r="68" spans="1:244" ht="13">
      <c r="A68" s="554" t="s">
        <v>23</v>
      </c>
      <c r="B68" s="574">
        <f t="shared" si="0"/>
        <v>2020</v>
      </c>
      <c r="C68" s="575">
        <f>+C67</f>
        <v>14599687.47897727</v>
      </c>
      <c r="D68" s="575">
        <f>+D67</f>
        <v>445791.98409090913</v>
      </c>
      <c r="E68" s="575">
        <f t="shared" si="6"/>
        <v>14153895.494886361</v>
      </c>
      <c r="F68" s="558">
        <f>+C$29*E68+D68</f>
        <v>2131061.439195849</v>
      </c>
      <c r="G68" s="575">
        <f>+G67</f>
        <v>3764824.3602272701</v>
      </c>
      <c r="H68" s="575">
        <f>+H67</f>
        <v>115840.74954545456</v>
      </c>
      <c r="I68" s="575">
        <f t="shared" si="7"/>
        <v>3648983.6106818155</v>
      </c>
      <c r="J68" s="558">
        <f>+G$29*I68+H68</f>
        <v>550316.23535657628</v>
      </c>
      <c r="K68" s="576">
        <f>+K67</f>
        <v>9697077.4160795398</v>
      </c>
      <c r="L68" s="575">
        <f>+L67</f>
        <v>305419.76113636367</v>
      </c>
      <c r="M68" s="575">
        <f t="shared" si="8"/>
        <v>9391657.6549431756</v>
      </c>
      <c r="N68" s="558">
        <f>+K$29*M68+L68</f>
        <v>1423661.2929038201</v>
      </c>
      <c r="O68" s="576">
        <f>+O67</f>
        <v>4036868.7651515137</v>
      </c>
      <c r="P68" s="575">
        <f>+P67</f>
        <v>119316.31818181818</v>
      </c>
      <c r="Q68" s="575">
        <f t="shared" si="11"/>
        <v>3917552.4469696954</v>
      </c>
      <c r="R68" s="558">
        <f>+O$29*Q68+P68</f>
        <v>585769.63345710165</v>
      </c>
      <c r="S68" s="492">
        <f>+S67</f>
        <v>1875821.858787877</v>
      </c>
      <c r="T68" s="476">
        <f>+T67</f>
        <v>58315.705454545445</v>
      </c>
      <c r="U68" s="476">
        <f t="shared" si="12"/>
        <v>1817506.1533333315</v>
      </c>
      <c r="V68" s="493">
        <f>+S$29*U68+T68</f>
        <v>274721.68399130664</v>
      </c>
      <c r="W68" s="492">
        <f>+W67</f>
        <v>23456433.928030305</v>
      </c>
      <c r="X68" s="476">
        <f>+X67</f>
        <v>693293.61363636365</v>
      </c>
      <c r="Y68" s="476">
        <f t="shared" si="13"/>
        <v>22763140.314393941</v>
      </c>
      <c r="Z68" s="493">
        <f>+W$29*Y68+X68</f>
        <v>3403644.6324054175</v>
      </c>
      <c r="AA68" s="492">
        <f>+AA67</f>
        <v>15290762.60416666</v>
      </c>
      <c r="AB68" s="476">
        <f>+AB67</f>
        <v>450833.29545454547</v>
      </c>
      <c r="AC68" s="476">
        <f t="shared" si="14"/>
        <v>14839929.308712116</v>
      </c>
      <c r="AD68" s="493">
        <f>+AA$29*AC68+AB68</f>
        <v>2217787.1060803663</v>
      </c>
      <c r="AE68" s="492">
        <f>+AE67</f>
        <v>154029.19318181829</v>
      </c>
      <c r="AF68" s="476">
        <f>+AF67</f>
        <v>4597.886363636364</v>
      </c>
      <c r="AG68" s="476">
        <f t="shared" si="15"/>
        <v>149431.30681818194</v>
      </c>
      <c r="AH68" s="493">
        <f>+AE$29*AG68+AF68</f>
        <v>22390.303801512782</v>
      </c>
      <c r="AI68" s="492">
        <f>+AI67</f>
        <v>10294902.208333334</v>
      </c>
      <c r="AJ68" s="476">
        <f>+AJ67</f>
        <v>295547.43181818182</v>
      </c>
      <c r="AK68" s="476">
        <f t="shared" si="19"/>
        <v>9999354.7765151523</v>
      </c>
      <c r="AL68" s="493">
        <f>+AI$29*AK68+AJ68</f>
        <v>1486145.9622161887</v>
      </c>
      <c r="AM68" s="492">
        <f>+AM67</f>
        <v>3824908.5910227261</v>
      </c>
      <c r="AN68" s="476">
        <f>+AN67</f>
        <v>110866.91568181818</v>
      </c>
      <c r="AO68" s="476">
        <f t="shared" si="16"/>
        <v>3714041.6753409081</v>
      </c>
      <c r="AP68" s="493">
        <f>+AM$29*AO68+AN68</f>
        <v>553088.70491999458</v>
      </c>
      <c r="AQ68" s="492">
        <f>+AQ67</f>
        <v>31446395.245227281</v>
      </c>
      <c r="AR68" s="476">
        <f>+AR67</f>
        <v>904932.23727272719</v>
      </c>
      <c r="AS68" s="476">
        <f t="shared" si="17"/>
        <v>30541463.007954553</v>
      </c>
      <c r="AT68" s="493">
        <f>+AQ$29*AS68+AR68</f>
        <v>4541428.9699297529</v>
      </c>
      <c r="AU68" s="576">
        <f>+AU67</f>
        <v>20875000</v>
      </c>
      <c r="AV68" s="575">
        <f>+AV67</f>
        <v>750000</v>
      </c>
      <c r="AW68" s="575">
        <f t="shared" si="1"/>
        <v>20125000</v>
      </c>
      <c r="AX68" s="558">
        <f>+AU$29*AW68+AV68</f>
        <v>750000</v>
      </c>
      <c r="AY68" s="576">
        <f>+AY67</f>
        <v>13583333.333333332</v>
      </c>
      <c r="AZ68" s="575">
        <f>+AZ67</f>
        <v>500000</v>
      </c>
      <c r="BA68" s="575">
        <f t="shared" si="2"/>
        <v>13083333.333333332</v>
      </c>
      <c r="BB68" s="558">
        <f>+AY$29*BA68+AZ68</f>
        <v>500000</v>
      </c>
      <c r="BC68" s="576">
        <f>+BC67</f>
        <v>21250000</v>
      </c>
      <c r="BD68" s="575">
        <f>+BD67</f>
        <v>750000</v>
      </c>
      <c r="BE68" s="575">
        <f t="shared" si="4"/>
        <v>20500000</v>
      </c>
      <c r="BF68" s="558">
        <f>+BC$29*BE68+BD68</f>
        <v>750000</v>
      </c>
      <c r="BG68" s="576">
        <f>+BG67</f>
        <v>13666666.666666672</v>
      </c>
      <c r="BH68" s="575">
        <f>+BH67</f>
        <v>571428.57142857148</v>
      </c>
      <c r="BI68" s="575">
        <f t="shared" si="5"/>
        <v>13095238.095238101</v>
      </c>
      <c r="BJ68" s="558">
        <f>+BG$29*BI68+BH68</f>
        <v>571428.57142857148</v>
      </c>
      <c r="BK68" s="576">
        <f>+BK67</f>
        <v>17600000</v>
      </c>
      <c r="BL68" s="575">
        <f>+BL67</f>
        <v>1200000</v>
      </c>
      <c r="BM68" s="575">
        <f t="shared" si="9"/>
        <v>16400000</v>
      </c>
      <c r="BN68" s="558">
        <f>+BK$29*BM68+BL68</f>
        <v>1200000</v>
      </c>
      <c r="BO68" s="576">
        <f>+BO67</f>
        <v>13166666.666666664</v>
      </c>
      <c r="BP68" s="575">
        <f>+BP67</f>
        <v>666666.66666666663</v>
      </c>
      <c r="BQ68" s="575">
        <f t="shared" si="10"/>
        <v>12499999.999999998</v>
      </c>
      <c r="BR68" s="558">
        <f>+BO$29*BQ68+BP68</f>
        <v>666666.66666666663</v>
      </c>
      <c r="BS68" s="492">
        <f>+BS67</f>
        <v>290881.02272727282</v>
      </c>
      <c r="BT68" s="476">
        <f>+BT67</f>
        <v>8310.886363636364</v>
      </c>
      <c r="BU68" s="476">
        <f t="shared" si="18"/>
        <v>282570.13636363647</v>
      </c>
      <c r="BV68" s="493">
        <f>+BS$29*BU68+BT68</f>
        <v>41955.816122410004</v>
      </c>
      <c r="BW68" s="492">
        <f>+BW67</f>
        <v>20477863.568181824</v>
      </c>
      <c r="BX68" s="476">
        <f>+BX67</f>
        <v>576841.22727272729</v>
      </c>
      <c r="BY68" s="476">
        <f t="shared" si="20"/>
        <v>19901022.340909097</v>
      </c>
      <c r="BZ68" s="493">
        <f>+BW$29*BY68+BX68</f>
        <v>2816686.7594167506</v>
      </c>
      <c r="CA68" s="492">
        <f>+CA67</f>
        <v>1936940.3200000008</v>
      </c>
      <c r="CB68" s="476">
        <f>+CB67</f>
        <v>54433.919999999998</v>
      </c>
      <c r="CC68" s="476">
        <f t="shared" si="21"/>
        <v>1882506.4000000008</v>
      </c>
      <c r="CD68" s="493">
        <f>+CA$29*CC68+CB68</f>
        <v>278579.31771794712</v>
      </c>
      <c r="CE68" s="492">
        <f>+CE67</f>
        <v>166557.27545454551</v>
      </c>
      <c r="CF68" s="476">
        <f>+CF67</f>
        <v>4725.0290909090909</v>
      </c>
      <c r="CG68" s="476">
        <f t="shared" si="22"/>
        <v>161832.24636363643</v>
      </c>
      <c r="CH68" s="493">
        <f>+CE$29*CG68+CF68</f>
        <v>23993.995839051924</v>
      </c>
      <c r="CI68" s="492">
        <f>+CI67</f>
        <v>447118.63636363624</v>
      </c>
      <c r="CJ68" s="476">
        <f>+CJ67</f>
        <v>12362.727272727272</v>
      </c>
      <c r="CK68" s="476">
        <f t="shared" si="23"/>
        <v>434755.90909090894</v>
      </c>
      <c r="CL68" s="493">
        <f>+CI$29*CK68+CJ68</f>
        <v>61294.187369063322</v>
      </c>
      <c r="CM68" s="492">
        <f>+CM67</f>
        <v>19710434.691193182</v>
      </c>
      <c r="CN68" s="476">
        <f>+CN67</f>
        <v>483691.64886363636</v>
      </c>
      <c r="CO68" s="476">
        <f t="shared" si="33"/>
        <v>19226743.042329546</v>
      </c>
      <c r="CP68" s="493">
        <f>+CM$29*CO68+CN68</f>
        <v>2647647.5383315631</v>
      </c>
      <c r="CQ68" s="492">
        <f>+CQ67</f>
        <v>82222740.545965895</v>
      </c>
      <c r="CR68" s="476">
        <f>+CR67</f>
        <v>2017735.9643181816</v>
      </c>
      <c r="CS68" s="476">
        <f t="shared" si="38"/>
        <v>80205004.581647709</v>
      </c>
      <c r="CT68" s="493">
        <f>+CQ$29*CS68+CR68</f>
        <v>11044750.661875078</v>
      </c>
      <c r="CU68" s="492">
        <f>+CU67</f>
        <v>27724010.272500005</v>
      </c>
      <c r="CV68" s="476">
        <f>+CV67</f>
        <v>676195.37250000006</v>
      </c>
      <c r="CW68" s="476">
        <f t="shared" si="39"/>
        <v>27047814.900000006</v>
      </c>
      <c r="CX68" s="493">
        <f>+CU$29*CW68+CV68</f>
        <v>3720407.1883667461</v>
      </c>
      <c r="CY68" s="492">
        <f>+CY67</f>
        <v>30449.540340909145</v>
      </c>
      <c r="CZ68" s="476">
        <f>+CZ67</f>
        <v>733.72386363636497</v>
      </c>
      <c r="DA68" s="476">
        <f t="shared" si="40"/>
        <v>29715.81647727278</v>
      </c>
      <c r="DB68" s="493">
        <f>+CY$29*DA68+CZ68</f>
        <v>4078.2173087701353</v>
      </c>
      <c r="DC68" s="492">
        <f>+DC67</f>
        <v>1836890.25</v>
      </c>
      <c r="DD68" s="476">
        <f>+DD67</f>
        <v>44530.672727272722</v>
      </c>
      <c r="DE68" s="476">
        <f t="shared" si="41"/>
        <v>1792359.5772727274</v>
      </c>
      <c r="DF68" s="493">
        <f>+DC$29*DE68+DD68</f>
        <v>246259.43431442635</v>
      </c>
      <c r="DG68" s="492">
        <f>+DG67</f>
        <v>1022538.1842045453</v>
      </c>
      <c r="DH68" s="476">
        <f>+DH67</f>
        <v>24639.474318181816</v>
      </c>
      <c r="DI68" s="476">
        <f t="shared" si="42"/>
        <v>997898.70988636347</v>
      </c>
      <c r="DJ68" s="493">
        <f>+DG$29*DI68+DH68</f>
        <v>136952.2454202293</v>
      </c>
      <c r="DK68" s="492">
        <f>+DK67</f>
        <v>22627620.964886364</v>
      </c>
      <c r="DL68" s="476">
        <f>+DL67</f>
        <v>549658.80886363634</v>
      </c>
      <c r="DM68" s="476">
        <f t="shared" si="43"/>
        <v>22077962.156022727</v>
      </c>
      <c r="DN68" s="493">
        <f>+DK$29*DM68+DL68</f>
        <v>3034517.3275317466</v>
      </c>
      <c r="DO68" s="492">
        <f>+DO67</f>
        <v>826159.01291666622</v>
      </c>
      <c r="DP68" s="476">
        <f>+DP67</f>
        <v>19592.703863636354</v>
      </c>
      <c r="DQ68" s="476">
        <f t="shared" si="57"/>
        <v>806566.30905302987</v>
      </c>
      <c r="DR68" s="493">
        <f t="shared" si="62"/>
        <v>110371.15296856803</v>
      </c>
      <c r="DS68" s="492">
        <f>+DS67</f>
        <v>352569.49090908963</v>
      </c>
      <c r="DT68" s="476">
        <f>+DT67</f>
        <v>8295.7527272726966</v>
      </c>
      <c r="DU68" s="476">
        <f t="shared" si="58"/>
        <v>344273.73818181694</v>
      </c>
      <c r="DV68" s="493">
        <f t="shared" si="63"/>
        <v>47043.510560594063</v>
      </c>
      <c r="DW68" s="492">
        <f>+DW67</f>
        <v>51619.504034090904</v>
      </c>
      <c r="DX68" s="476">
        <f>+DX67</f>
        <v>1221.7634090909089</v>
      </c>
      <c r="DY68" s="476">
        <f t="shared" si="59"/>
        <v>50397.740624999991</v>
      </c>
      <c r="DZ68" s="493">
        <f t="shared" si="64"/>
        <v>6893.9923144880859</v>
      </c>
      <c r="EA68" s="492">
        <f>+EA67</f>
        <v>-305579.60994318378</v>
      </c>
      <c r="EB68" s="476">
        <f>+EB67</f>
        <v>-7120.3015909091364</v>
      </c>
      <c r="EC68" s="476">
        <f t="shared" si="60"/>
        <v>-298459.30835227465</v>
      </c>
      <c r="ED68" s="493">
        <f t="shared" si="65"/>
        <v>-40711.678801990645</v>
      </c>
      <c r="EE68" s="576">
        <f>+EE67</f>
        <v>8469799.4400000013</v>
      </c>
      <c r="EF68" s="580">
        <f>+EF67</f>
        <v>112289.00772727275</v>
      </c>
      <c r="EG68" s="580">
        <f t="shared" si="69"/>
        <v>8357510.4322727285</v>
      </c>
      <c r="EH68" s="493">
        <f>+(((EE$29*EG68)*(12-EE$32)/12))+EF68</f>
        <v>660990.83053785772</v>
      </c>
      <c r="EI68" s="576">
        <f>+EI67</f>
        <v>338632.87</v>
      </c>
      <c r="EJ68" s="580">
        <f>+EJ67</f>
        <v>1282.7002651515152</v>
      </c>
      <c r="EK68" s="580">
        <f t="shared" si="70"/>
        <v>337350.16973484849</v>
      </c>
      <c r="EL68" s="493">
        <f>+(((EI$29*EK68)*(12-EI$32)/12))+EJ68</f>
        <v>7610.7861418870252</v>
      </c>
      <c r="EM68" s="576">
        <f>+EM67</f>
        <v>11496164.189999999</v>
      </c>
      <c r="EN68" s="580">
        <f>+EN67</f>
        <v>0</v>
      </c>
      <c r="EO68" s="580">
        <f t="shared" si="71"/>
        <v>11496164.189999999</v>
      </c>
      <c r="EP68" s="493">
        <f>+(((EM$29*EO68)*(12-EM$32)/12))+EN68</f>
        <v>0</v>
      </c>
      <c r="EQ68" s="576"/>
      <c r="ER68" s="580"/>
      <c r="ES68" s="580"/>
      <c r="ET68" s="493"/>
      <c r="EU68" s="576"/>
      <c r="EV68" s="580"/>
      <c r="EW68" s="580"/>
      <c r="EX68" s="493"/>
      <c r="EY68" s="582">
        <f>+R68+J68+F68+N68+V68+Z68+AD68+AH68+AL68+AP68+AT68+BV68+BZ68+CD68+CH68+CL68+CP68+CT68+CX68+DB68+DF68+DJ68+DN68+DR68+DV68+DZ68+ED68+EH68+EL68+EP68</f>
        <v>42039337.247593082</v>
      </c>
      <c r="EZ68" s="579">
        <f>+EY68</f>
        <v>42039337.247593082</v>
      </c>
      <c r="FA68" s="553"/>
      <c r="FB68" s="758"/>
      <c r="FD68" s="492">
        <f>+FD67</f>
        <v>5294635.8333333358</v>
      </c>
      <c r="FE68" s="476">
        <f t="shared" si="72"/>
        <v>1270712.6000000001</v>
      </c>
      <c r="FF68" s="476">
        <f t="shared" si="24"/>
        <v>4023923.2333333357</v>
      </c>
      <c r="FG68" s="493">
        <f t="shared" si="44"/>
        <v>1802410.1036167587</v>
      </c>
      <c r="FH68" s="492">
        <f>+FH67</f>
        <v>4472021.9999999981</v>
      </c>
      <c r="FI68" s="476">
        <f t="shared" si="73"/>
        <v>894404.4</v>
      </c>
      <c r="FJ68" s="476">
        <f t="shared" si="25"/>
        <v>3577617.5999999982</v>
      </c>
      <c r="FK68" s="493">
        <f t="shared" si="45"/>
        <v>1367129.7072468845</v>
      </c>
      <c r="FL68" s="492">
        <f>+FL67</f>
        <v>690588.07241666643</v>
      </c>
      <c r="FM68" s="476">
        <f t="shared" si="74"/>
        <v>140458.59099999999</v>
      </c>
      <c r="FN68" s="476">
        <f t="shared" si="26"/>
        <v>550129.48141666641</v>
      </c>
      <c r="FO68" s="493">
        <f t="shared" si="46"/>
        <v>213149.45883569686</v>
      </c>
      <c r="FP68" s="492">
        <f>+FP67</f>
        <v>84801.500000000015</v>
      </c>
      <c r="FQ68" s="476">
        <f t="shared" si="75"/>
        <v>16960.3</v>
      </c>
      <c r="FR68" s="476">
        <f t="shared" si="27"/>
        <v>67841.200000000012</v>
      </c>
      <c r="FS68" s="493">
        <f t="shared" si="47"/>
        <v>25924.436388974987</v>
      </c>
      <c r="FT68" s="492">
        <f>+FT67</f>
        <v>6477.8943333333336</v>
      </c>
      <c r="FU68" s="476">
        <f t="shared" si="76"/>
        <v>1253.7860000000001</v>
      </c>
      <c r="FV68" s="476">
        <f t="shared" si="32"/>
        <v>5224.1083333333336</v>
      </c>
      <c r="FW68" s="493">
        <f t="shared" si="48"/>
        <v>1944.0688902021311</v>
      </c>
      <c r="FX68" s="492">
        <f>+FX67</f>
        <v>21174614.894999996</v>
      </c>
      <c r="FY68" s="476">
        <f t="shared" si="77"/>
        <v>4033259.9799999995</v>
      </c>
      <c r="FZ68" s="476">
        <f t="shared" si="28"/>
        <v>17141354.914999995</v>
      </c>
      <c r="GA68" s="493">
        <f t="shared" si="49"/>
        <v>6298217.6067796946</v>
      </c>
      <c r="GB68" s="492">
        <f>+GB67</f>
        <v>296214.49283333338</v>
      </c>
      <c r="GC68" s="476">
        <f t="shared" si="78"/>
        <v>53053.342000000004</v>
      </c>
      <c r="GD68" s="476">
        <f t="shared" si="29"/>
        <v>243161.15083333338</v>
      </c>
      <c r="GE68" s="493">
        <f t="shared" si="50"/>
        <v>85183.223555310338</v>
      </c>
      <c r="GF68" s="492">
        <f>+GF67</f>
        <v>-300979.04149999988</v>
      </c>
      <c r="GG68" s="476">
        <f t="shared" si="79"/>
        <v>-53906.693999999974</v>
      </c>
      <c r="GH68" s="476">
        <f t="shared" si="30"/>
        <v>-247072.34749999992</v>
      </c>
      <c r="GI68" s="493">
        <f t="shared" si="51"/>
        <v>-86553.378034690133</v>
      </c>
      <c r="GJ68" s="492">
        <f>+GJ67</f>
        <v>19410549.380833339</v>
      </c>
      <c r="GK68" s="476">
        <f t="shared" si="80"/>
        <v>3327522.7509999997</v>
      </c>
      <c r="GL68" s="476">
        <f t="shared" si="31"/>
        <v>16083026.629833339</v>
      </c>
      <c r="GM68" s="493">
        <f t="shared" si="52"/>
        <v>5452639.1147633586</v>
      </c>
      <c r="GN68" s="492">
        <f>+GN67</f>
        <v>294564.67574999994</v>
      </c>
      <c r="GO68" s="476">
        <f t="shared" si="81"/>
        <v>49785.578999999998</v>
      </c>
      <c r="GP68" s="476">
        <f t="shared" si="36"/>
        <v>244779.09674999994</v>
      </c>
      <c r="GQ68" s="493">
        <f t="shared" si="53"/>
        <v>82129.246394401969</v>
      </c>
      <c r="GR68" s="492">
        <f>+GR67</f>
        <v>1141440.2414999998</v>
      </c>
      <c r="GS68" s="476">
        <f t="shared" si="82"/>
        <v>175606.19100000002</v>
      </c>
      <c r="GT68" s="476">
        <f t="shared" si="37"/>
        <v>965834.05049999978</v>
      </c>
      <c r="GU68" s="493">
        <f t="shared" si="54"/>
        <v>303225.81090351223</v>
      </c>
      <c r="GV68" s="492">
        <f>+GV67</f>
        <v>27343833.928416662</v>
      </c>
      <c r="GW68" s="476">
        <f t="shared" si="83"/>
        <v>3686809.0689999992</v>
      </c>
      <c r="GX68" s="476">
        <f t="shared" si="55"/>
        <v>23657024.859416664</v>
      </c>
      <c r="GY68" s="493">
        <f t="shared" si="56"/>
        <v>6812708.9262723168</v>
      </c>
      <c r="GZ68" s="492">
        <f>+GZ67</f>
        <v>69576412.975333333</v>
      </c>
      <c r="HA68" s="476">
        <f>+HA67</f>
        <v>8028047.6510000005</v>
      </c>
      <c r="HB68" s="476">
        <f t="shared" si="61"/>
        <v>61548365.324333332</v>
      </c>
      <c r="HC68" s="493">
        <f t="shared" si="66"/>
        <v>16160685.948756859</v>
      </c>
      <c r="HD68" s="576">
        <f>+HD67</f>
        <v>-483079.82500000001</v>
      </c>
      <c r="HE68" s="580">
        <f>+HE67</f>
        <v>-53183.1</v>
      </c>
      <c r="HF68" s="580">
        <f t="shared" si="67"/>
        <v>-429896.72500000003</v>
      </c>
      <c r="HG68" s="918">
        <f t="shared" si="84"/>
        <v>-109987.11991818648</v>
      </c>
      <c r="HH68" s="576">
        <f>+HH67</f>
        <v>1211059.7333333334</v>
      </c>
      <c r="HI68" s="575">
        <f>+HI67</f>
        <v>129756.4</v>
      </c>
      <c r="HJ68" s="575">
        <f t="shared" si="68"/>
        <v>1081303.3333333335</v>
      </c>
      <c r="HK68" s="918">
        <f t="shared" si="85"/>
        <v>272633.45049222722</v>
      </c>
      <c r="HL68" s="576">
        <f>+HL67</f>
        <v>4400963</v>
      </c>
      <c r="HM68" s="580">
        <f>+HM67</f>
        <v>403421.60833333334</v>
      </c>
      <c r="HN68" s="580">
        <f t="shared" si="86"/>
        <v>3997541.3916666666</v>
      </c>
      <c r="HO68" s="918">
        <f>+(((HL$29*HN68)*(12-HL$32)/12))+HM68</f>
        <v>887615.54064659041</v>
      </c>
      <c r="HP68" s="576"/>
      <c r="HQ68" s="580"/>
      <c r="HR68" s="580"/>
      <c r="HS68" s="918"/>
      <c r="HT68" s="576"/>
      <c r="HU68" s="580"/>
      <c r="HV68" s="580"/>
      <c r="HW68" s="918"/>
      <c r="HY68" s="492"/>
      <c r="HZ68" s="476"/>
      <c r="IA68" s="476"/>
      <c r="IB68" s="493"/>
      <c r="IC68" s="492"/>
      <c r="ID68" s="476"/>
      <c r="IE68" s="476"/>
      <c r="IF68" s="493"/>
      <c r="IG68" s="492"/>
      <c r="IH68" s="476"/>
      <c r="II68" s="476"/>
      <c r="IJ68" s="493"/>
    </row>
    <row r="69" spans="1:244">
      <c r="A69" s="554" t="s">
        <v>24</v>
      </c>
      <c r="B69" s="574">
        <f t="shared" si="0"/>
        <v>2021</v>
      </c>
      <c r="C69" s="575">
        <f>+E68</f>
        <v>14153895.494886361</v>
      </c>
      <c r="D69" s="575">
        <f>+C$31</f>
        <v>445791.98409090913</v>
      </c>
      <c r="E69" s="575">
        <f t="shared" si="6"/>
        <v>13708103.510795452</v>
      </c>
      <c r="F69" s="558">
        <f>+C$28*E69+D69</f>
        <v>1988629.0241613043</v>
      </c>
      <c r="G69" s="575">
        <f>+I68</f>
        <v>3648983.6106818155</v>
      </c>
      <c r="H69" s="575">
        <f>+G$31</f>
        <v>115840.74954545456</v>
      </c>
      <c r="I69" s="575">
        <f t="shared" si="7"/>
        <v>3533142.861136361</v>
      </c>
      <c r="J69" s="558">
        <f>+G$28*I69+H69</f>
        <v>513493.39855912962</v>
      </c>
      <c r="K69" s="576">
        <f>+M68</f>
        <v>9391657.6549431756</v>
      </c>
      <c r="L69" s="575">
        <f>+K$31</f>
        <v>305419.76113636367</v>
      </c>
      <c r="M69" s="575">
        <f t="shared" si="8"/>
        <v>9086237.8938068114</v>
      </c>
      <c r="N69" s="558">
        <f>+K$28*M69+L69</f>
        <v>1328069.2010400235</v>
      </c>
      <c r="O69" s="576">
        <f>+Q68</f>
        <v>3917552.4469696954</v>
      </c>
      <c r="P69" s="575">
        <f>+O$31</f>
        <v>119316.31818181818</v>
      </c>
      <c r="Q69" s="575">
        <f t="shared" si="11"/>
        <v>3798236.128787877</v>
      </c>
      <c r="R69" s="558">
        <f>+O$28*Q69+P69</f>
        <v>546805.0208905912</v>
      </c>
      <c r="S69" s="492">
        <f>+U68</f>
        <v>1817506.1533333315</v>
      </c>
      <c r="T69" s="476">
        <f>+S$31</f>
        <v>58315.705454545445</v>
      </c>
      <c r="U69" s="476">
        <f t="shared" si="12"/>
        <v>1759190.4478787859</v>
      </c>
      <c r="V69" s="493">
        <f>+S$28*U69+T69</f>
        <v>256311.30574950724</v>
      </c>
      <c r="W69" s="492">
        <f>+Y68</f>
        <v>22763140.314393941</v>
      </c>
      <c r="X69" s="476">
        <f>+W$31</f>
        <v>693293.61363636365</v>
      </c>
      <c r="Y69" s="476">
        <f t="shared" si="13"/>
        <v>22069846.700757578</v>
      </c>
      <c r="Z69" s="493">
        <f>+W$28*Y69+X69</f>
        <v>3177238.7437405307</v>
      </c>
      <c r="AA69" s="492">
        <f>+AC68</f>
        <v>14839929.308712116</v>
      </c>
      <c r="AB69" s="476">
        <f>+AA$31</f>
        <v>450833.29545454547</v>
      </c>
      <c r="AC69" s="476">
        <f t="shared" si="14"/>
        <v>14389096.013257571</v>
      </c>
      <c r="AD69" s="493">
        <f>+AA$28*AC69+AB69</f>
        <v>2070315.544395837</v>
      </c>
      <c r="AE69" s="492">
        <f>+AG68</f>
        <v>149431.30681818194</v>
      </c>
      <c r="AF69" s="476">
        <f>+AE$31</f>
        <v>4597.886363636364</v>
      </c>
      <c r="AG69" s="476">
        <f t="shared" si="15"/>
        <v>144833.42045454559</v>
      </c>
      <c r="AH69" s="493">
        <f>+AE$28*AG69+AF69</f>
        <v>20898.782074074108</v>
      </c>
      <c r="AI69" s="492">
        <f>+AK68</f>
        <v>9999354.7765151523</v>
      </c>
      <c r="AJ69" s="476">
        <f>+AI$31</f>
        <v>295547.43181818182</v>
      </c>
      <c r="AK69" s="476">
        <f t="shared" si="19"/>
        <v>9703807.3446969707</v>
      </c>
      <c r="AL69" s="493">
        <f>+AI$28*AK69+AJ69</f>
        <v>1387703.8624517347</v>
      </c>
      <c r="AM69" s="492">
        <f>+AO68</f>
        <v>3714041.6753409081</v>
      </c>
      <c r="AN69" s="476">
        <f>+AM$31</f>
        <v>110866.91568181818</v>
      </c>
      <c r="AO69" s="476">
        <f t="shared" si="16"/>
        <v>3603174.7596590901</v>
      </c>
      <c r="AP69" s="493">
        <f>+AM$28*AO69+AN69</f>
        <v>516401.6037348269</v>
      </c>
      <c r="AQ69" s="492">
        <f>+AS68</f>
        <v>30541463.007954553</v>
      </c>
      <c r="AR69" s="476">
        <f>+AQ$31</f>
        <v>904932.23727272719</v>
      </c>
      <c r="AS69" s="476">
        <f t="shared" si="17"/>
        <v>29636530.770681825</v>
      </c>
      <c r="AT69" s="493">
        <f>+AQ$28*AS69+AR69</f>
        <v>4240502.1340264939</v>
      </c>
      <c r="AU69" s="576">
        <f>+AW68</f>
        <v>20125000</v>
      </c>
      <c r="AV69" s="575">
        <f>+AU$31</f>
        <v>750000</v>
      </c>
      <c r="AW69" s="575">
        <f t="shared" si="1"/>
        <v>19375000</v>
      </c>
      <c r="AX69" s="558">
        <f>+AU$28*AW69+AV69</f>
        <v>750000</v>
      </c>
      <c r="AY69" s="576">
        <f>+BA68</f>
        <v>13083333.333333332</v>
      </c>
      <c r="AZ69" s="575">
        <f>+AY$31</f>
        <v>500000</v>
      </c>
      <c r="BA69" s="575">
        <f t="shared" si="2"/>
        <v>12583333.333333332</v>
      </c>
      <c r="BB69" s="558">
        <f>+AY$28*BA69+AZ69</f>
        <v>500000</v>
      </c>
      <c r="BC69" s="576">
        <f>+BE68</f>
        <v>20500000</v>
      </c>
      <c r="BD69" s="575">
        <f>+BC$31</f>
        <v>750000</v>
      </c>
      <c r="BE69" s="575">
        <f t="shared" si="4"/>
        <v>19750000</v>
      </c>
      <c r="BF69" s="558">
        <f>+BC$28*BE69+BD69</f>
        <v>750000</v>
      </c>
      <c r="BG69" s="576">
        <f>+BI68</f>
        <v>13095238.095238101</v>
      </c>
      <c r="BH69" s="575">
        <f>+BG$31</f>
        <v>571428.57142857148</v>
      </c>
      <c r="BI69" s="575">
        <f t="shared" si="5"/>
        <v>12523809.52380953</v>
      </c>
      <c r="BJ69" s="558">
        <f>+BG$28*BI69+BH69</f>
        <v>571428.57142857148</v>
      </c>
      <c r="BK69" s="576">
        <f>+BM68</f>
        <v>16400000</v>
      </c>
      <c r="BL69" s="575">
        <f>+BK$31</f>
        <v>1200000</v>
      </c>
      <c r="BM69" s="575">
        <f t="shared" si="9"/>
        <v>15200000</v>
      </c>
      <c r="BN69" s="558">
        <f>+BK$28*BM69+BL69</f>
        <v>1200000</v>
      </c>
      <c r="BO69" s="576">
        <f>+BQ68</f>
        <v>12499999.999999998</v>
      </c>
      <c r="BP69" s="575">
        <f>+BO$31</f>
        <v>666666.66666666663</v>
      </c>
      <c r="BQ69" s="575">
        <f t="shared" si="10"/>
        <v>11833333.333333332</v>
      </c>
      <c r="BR69" s="558">
        <f>+BO$28*BQ69+BP69</f>
        <v>666666.66666666663</v>
      </c>
      <c r="BS69" s="492">
        <f>+BU68</f>
        <v>282570.13636363647</v>
      </c>
      <c r="BT69" s="476">
        <f>+BS$31</f>
        <v>8310.886363636364</v>
      </c>
      <c r="BU69" s="476">
        <f t="shared" si="18"/>
        <v>274259.25000000012</v>
      </c>
      <c r="BV69" s="493">
        <f>+BS$28*BU69+BT69</f>
        <v>39178.564678780116</v>
      </c>
      <c r="BW69" s="492">
        <f>+BY68</f>
        <v>19901022.340909097</v>
      </c>
      <c r="BX69" s="476">
        <f>+BW$31</f>
        <v>576841.22727272729</v>
      </c>
      <c r="BY69" s="476">
        <f t="shared" si="20"/>
        <v>19324181.113636371</v>
      </c>
      <c r="BZ69" s="493">
        <f>+BW$28*BY69+BX69</f>
        <v>2751763.700514026</v>
      </c>
      <c r="CA69" s="492">
        <f>+CC68</f>
        <v>1882506.4000000008</v>
      </c>
      <c r="CB69" s="476">
        <f>+CA$31</f>
        <v>54433.919999999998</v>
      </c>
      <c r="CC69" s="476">
        <f t="shared" si="21"/>
        <v>1828072.4800000009</v>
      </c>
      <c r="CD69" s="493">
        <f>+CA$28*CC69+CB69</f>
        <v>260182.14271047217</v>
      </c>
      <c r="CE69" s="492">
        <f>+CG68</f>
        <v>161832.24636363643</v>
      </c>
      <c r="CF69" s="476">
        <f>+CE$31</f>
        <v>4725.0290909090909</v>
      </c>
      <c r="CG69" s="476">
        <f t="shared" si="22"/>
        <v>157107.21727272734</v>
      </c>
      <c r="CH69" s="493">
        <f>+CE$28*CG69+CF69</f>
        <v>22407.33167053746</v>
      </c>
      <c r="CI69" s="492">
        <f>+CK68</f>
        <v>434755.90909090894</v>
      </c>
      <c r="CJ69" s="476">
        <f>+CI$31</f>
        <v>12362.727272727272</v>
      </c>
      <c r="CK69" s="476">
        <f t="shared" si="23"/>
        <v>422393.18181818165</v>
      </c>
      <c r="CL69" s="493">
        <f>+CI$28*CK69+CJ69</f>
        <v>59902.771442153287</v>
      </c>
      <c r="CM69" s="492">
        <f>+CO68</f>
        <v>19226743.042329546</v>
      </c>
      <c r="CN69" s="476">
        <f>+CM$31</f>
        <v>483691.64886363636</v>
      </c>
      <c r="CO69" s="476">
        <f t="shared" si="33"/>
        <v>18743051.39346591</v>
      </c>
      <c r="CP69" s="493">
        <f>+CM$28*CO69+CN69</f>
        <v>2593208.3964581564</v>
      </c>
      <c r="CQ69" s="492">
        <f>+CS68</f>
        <v>80205004.581647709</v>
      </c>
      <c r="CR69" s="476">
        <f>+CQ$31</f>
        <v>2017735.9643181816</v>
      </c>
      <c r="CS69" s="476">
        <f t="shared" si="38"/>
        <v>78187268.617329523</v>
      </c>
      <c r="CT69" s="493">
        <f>+CQ$28*CS69+CR69</f>
        <v>10817655.952502577</v>
      </c>
      <c r="CU69" s="492">
        <f>+CW68</f>
        <v>27047814.900000006</v>
      </c>
      <c r="CV69" s="476">
        <f>+CU$31</f>
        <v>676195.37250000006</v>
      </c>
      <c r="CW69" s="476">
        <f t="shared" si="39"/>
        <v>26371619.527500007</v>
      </c>
      <c r="CX69" s="493">
        <f>+CU$28*CW69+CV69</f>
        <v>3644301.8929700777</v>
      </c>
      <c r="CY69" s="492">
        <f>+DA68</f>
        <v>29715.81647727278</v>
      </c>
      <c r="CZ69" s="476">
        <f>+CY$31</f>
        <v>733.72386363636497</v>
      </c>
      <c r="DA69" s="476">
        <f t="shared" si="40"/>
        <v>28982.092613636414</v>
      </c>
      <c r="DB69" s="493">
        <f>+CY$28*DA69+CZ69</f>
        <v>3995.6372237051037</v>
      </c>
      <c r="DC69" s="492">
        <f>+DE68</f>
        <v>1792359.5772727274</v>
      </c>
      <c r="DD69" s="476">
        <f>+DC$31</f>
        <v>44530.672727272722</v>
      </c>
      <c r="DE69" s="476">
        <f t="shared" si="41"/>
        <v>1747828.9045454548</v>
      </c>
      <c r="DF69" s="493">
        <f>+DC$28*DE69+DD69</f>
        <v>241247.5396166089</v>
      </c>
      <c r="DG69" s="492">
        <f>+DI68</f>
        <v>997898.70988636347</v>
      </c>
      <c r="DH69" s="476">
        <f>+DG$31</f>
        <v>24639.474318181816</v>
      </c>
      <c r="DI69" s="476">
        <f>+DG69-DH69</f>
        <v>973259.23556818161</v>
      </c>
      <c r="DJ69" s="493">
        <f>+DG$28*DI69+DH69</f>
        <v>134179.09057820341</v>
      </c>
      <c r="DK69" s="492">
        <f>+DM68</f>
        <v>22077962.156022727</v>
      </c>
      <c r="DL69" s="476">
        <f>+DK$31</f>
        <v>549658.80886363634</v>
      </c>
      <c r="DM69" s="476">
        <f t="shared" si="43"/>
        <v>21528303.347159091</v>
      </c>
      <c r="DN69" s="493">
        <f>+DK$28*DM69+DL69</f>
        <v>2972653.6299715443</v>
      </c>
      <c r="DO69" s="492">
        <f>+DQ68</f>
        <v>806566.30905302987</v>
      </c>
      <c r="DP69" s="476">
        <f t="shared" ref="DP69:DP78" si="87">+DP68</f>
        <v>19592.703863636354</v>
      </c>
      <c r="DQ69" s="476">
        <f t="shared" si="57"/>
        <v>786973.60518939351</v>
      </c>
      <c r="DR69" s="493">
        <f t="shared" si="62"/>
        <v>108166.00845589762</v>
      </c>
      <c r="DS69" s="492">
        <f>+DU68</f>
        <v>344273.73818181694</v>
      </c>
      <c r="DT69" s="476">
        <f t="shared" ref="DT69:DT78" si="88">+DT68</f>
        <v>8295.7527272726966</v>
      </c>
      <c r="DU69" s="476">
        <f t="shared" si="58"/>
        <v>335977.98545454425</v>
      </c>
      <c r="DV69" s="493">
        <f t="shared" si="63"/>
        <v>46109.829648947765</v>
      </c>
      <c r="DW69" s="492">
        <f>+DY68</f>
        <v>50397.740624999991</v>
      </c>
      <c r="DX69" s="476">
        <f t="shared" ref="DX69:DX78" si="89">+DX68</f>
        <v>1221.7634090909089</v>
      </c>
      <c r="DY69" s="476">
        <f t="shared" si="59"/>
        <v>49175.977215909079</v>
      </c>
      <c r="DZ69" s="493">
        <f t="shared" si="64"/>
        <v>6756.4837349633062</v>
      </c>
      <c r="EA69" s="492">
        <f>+EC68</f>
        <v>-298459.30835227465</v>
      </c>
      <c r="EB69" s="476">
        <f t="shared" ref="EB69:EB78" si="90">+EB68</f>
        <v>-7120.3015909091364</v>
      </c>
      <c r="EC69" s="476">
        <f t="shared" si="60"/>
        <v>-291339.00676136551</v>
      </c>
      <c r="ED69" s="493">
        <f t="shared" si="65"/>
        <v>-39910.294057392275</v>
      </c>
      <c r="EE69" s="576">
        <f>+EG68</f>
        <v>8357510.4322727285</v>
      </c>
      <c r="EF69" s="580">
        <f>+EE31</f>
        <v>192495.44181818186</v>
      </c>
      <c r="EG69" s="580">
        <f t="shared" si="69"/>
        <v>8165014.9904545471</v>
      </c>
      <c r="EH69" s="493">
        <f t="shared" ref="EH69:EH90" si="91">+EE$29*EG69+EF69</f>
        <v>1111461.9166542261</v>
      </c>
      <c r="EI69" s="576">
        <f>+EK68</f>
        <v>337350.16973484849</v>
      </c>
      <c r="EJ69" s="580">
        <f>+EI31</f>
        <v>7696.2015909090906</v>
      </c>
      <c r="EK69" s="580">
        <f t="shared" si="70"/>
        <v>329653.96814393939</v>
      </c>
      <c r="EL69" s="493">
        <f t="shared" ref="EL69:EL90" si="92">+EI$29*EK69+EJ69</f>
        <v>44798.514982263303</v>
      </c>
      <c r="EM69" s="576">
        <f>+EO68</f>
        <v>11496164.189999999</v>
      </c>
      <c r="EN69" s="580">
        <f>+EM31</f>
        <v>261276.45886363636</v>
      </c>
      <c r="EO69" s="580">
        <f t="shared" si="71"/>
        <v>11234887.731136363</v>
      </c>
      <c r="EP69" s="493">
        <f t="shared" ref="EP69:EP90" si="93">+EM$29*EO69+EN69</f>
        <v>1525754.8689499777</v>
      </c>
      <c r="EQ69" s="576">
        <f>+EQ30</f>
        <v>22025520.259999998</v>
      </c>
      <c r="ER69" s="580">
        <f>+EQ$31/12*(12-EQ$32)</f>
        <v>250290.00295454543</v>
      </c>
      <c r="ES69" s="580">
        <f t="shared" ref="ES69:ES130" si="94">+EQ69-ER69</f>
        <v>21775230.257045452</v>
      </c>
      <c r="ET69" s="493">
        <f>+(((EQ$28*ES69)*(12-EQ$32)/12))+ER69</f>
        <v>1475683.1352056249</v>
      </c>
      <c r="EU69" s="576">
        <f>+EU30</f>
        <v>28459889.720000003</v>
      </c>
      <c r="EV69" s="580">
        <f>+EU$31/12*(12-EU$32)</f>
        <v>323407.83772727277</v>
      </c>
      <c r="EW69" s="580">
        <f t="shared" ref="EW69:EW132" si="95">+EU69-EV69</f>
        <v>28136481.882272732</v>
      </c>
      <c r="EX69" s="493">
        <f>+(((EU$28*EW69)*(12-EU$32)/12))+EV69</f>
        <v>1906778.0825993503</v>
      </c>
      <c r="EY69" s="582">
        <f>+R69+J69+F69+N69+V69+Z69+AD69+AH69+AL69+AP69+AT69+BV69+BZ69+CD69+CH69+CL69+CP69+CT69+CX69+DB69+DF69+DJ69+DN69+DR69+DV69+DZ69+ED69+EH69+EL69+EP69+ET69+EX69</f>
        <v>45772643.817334756</v>
      </c>
      <c r="EZ69" s="557"/>
      <c r="FA69" s="578">
        <f>+EY69</f>
        <v>45772643.817334756</v>
      </c>
      <c r="FD69" s="492">
        <f>+FF68</f>
        <v>4023923.2333333357</v>
      </c>
      <c r="FE69" s="476">
        <f t="shared" si="72"/>
        <v>1270712.6000000001</v>
      </c>
      <c r="FF69" s="476">
        <f t="shared" si="24"/>
        <v>2753210.6333333356</v>
      </c>
      <c r="FG69" s="493">
        <f t="shared" si="44"/>
        <v>1634505.628790414</v>
      </c>
      <c r="FH69" s="492">
        <f>+FJ68</f>
        <v>3577617.5999999982</v>
      </c>
      <c r="FI69" s="476">
        <f t="shared" si="73"/>
        <v>894404.4</v>
      </c>
      <c r="FJ69" s="476">
        <f t="shared" si="25"/>
        <v>2683213.1999999983</v>
      </c>
      <c r="FK69" s="493">
        <f t="shared" si="45"/>
        <v>1248948.3804351634</v>
      </c>
      <c r="FL69" s="492">
        <f>+FN68</f>
        <v>550129.48141666641</v>
      </c>
      <c r="FM69" s="476">
        <f t="shared" si="74"/>
        <v>140458.59099999999</v>
      </c>
      <c r="FN69" s="476">
        <f t="shared" si="26"/>
        <v>409670.8904166664</v>
      </c>
      <c r="FO69" s="493">
        <f t="shared" si="46"/>
        <v>194590.08832445508</v>
      </c>
      <c r="FP69" s="492">
        <f>+FR68</f>
        <v>67841.200000000012</v>
      </c>
      <c r="FQ69" s="476">
        <f t="shared" si="75"/>
        <v>16960.3</v>
      </c>
      <c r="FR69" s="476">
        <f t="shared" si="27"/>
        <v>50880.900000000009</v>
      </c>
      <c r="FS69" s="493">
        <f t="shared" si="47"/>
        <v>23683.40229173124</v>
      </c>
      <c r="FT69" s="492">
        <f>+FV68</f>
        <v>5224.1083333333336</v>
      </c>
      <c r="FU69" s="476">
        <f t="shared" si="76"/>
        <v>1253.7860000000001</v>
      </c>
      <c r="FV69" s="476">
        <f t="shared" si="32"/>
        <v>3970.3223333333335</v>
      </c>
      <c r="FW69" s="493">
        <f t="shared" si="48"/>
        <v>1778.4009965536195</v>
      </c>
      <c r="FX69" s="492">
        <f>+FZ68</f>
        <v>17141354.914999995</v>
      </c>
      <c r="FY69" s="476">
        <f t="shared" si="77"/>
        <v>4033259.9799999995</v>
      </c>
      <c r="FZ69" s="476">
        <f t="shared" si="28"/>
        <v>13108094.934999995</v>
      </c>
      <c r="GA69" s="493">
        <f t="shared" si="49"/>
        <v>5765286.4004785903</v>
      </c>
      <c r="GB69" s="492">
        <f>+GD68</f>
        <v>243161.15083333338</v>
      </c>
      <c r="GC69" s="476">
        <f t="shared" si="78"/>
        <v>53053.342000000004</v>
      </c>
      <c r="GD69" s="476">
        <f t="shared" si="29"/>
        <v>190107.80883333337</v>
      </c>
      <c r="GE69" s="493">
        <f t="shared" si="50"/>
        <v>78173.067579606257</v>
      </c>
      <c r="GF69" s="492">
        <f>+GH68</f>
        <v>-247072.34749999992</v>
      </c>
      <c r="GG69" s="476">
        <f t="shared" si="79"/>
        <v>-53906.693999999974</v>
      </c>
      <c r="GH69" s="476">
        <f t="shared" si="30"/>
        <v>-193165.65349999996</v>
      </c>
      <c r="GI69" s="493">
        <f t="shared" si="51"/>
        <v>-79430.4651543941</v>
      </c>
      <c r="GJ69" s="492">
        <f>+GL68</f>
        <v>16083026.629833339</v>
      </c>
      <c r="GK69" s="476">
        <f t="shared" si="80"/>
        <v>3327522.7509999997</v>
      </c>
      <c r="GL69" s="476">
        <f t="shared" si="31"/>
        <v>12755503.878833339</v>
      </c>
      <c r="GM69" s="493">
        <f t="shared" si="52"/>
        <v>5012959.867088181</v>
      </c>
      <c r="GN69" s="492">
        <f>+GP68</f>
        <v>244779.09674999994</v>
      </c>
      <c r="GO69" s="476">
        <f t="shared" si="81"/>
        <v>49785.578999999998</v>
      </c>
      <c r="GP69" s="476">
        <f t="shared" si="36"/>
        <v>194993.51774999994</v>
      </c>
      <c r="GQ69" s="493">
        <f t="shared" si="53"/>
        <v>75550.873365032079</v>
      </c>
      <c r="GR69" s="492">
        <f>+GT68</f>
        <v>965834.05049999978</v>
      </c>
      <c r="GS69" s="476">
        <f t="shared" si="82"/>
        <v>175606.19100000002</v>
      </c>
      <c r="GT69" s="476">
        <f t="shared" si="37"/>
        <v>790227.85949999979</v>
      </c>
      <c r="GU69" s="493">
        <f t="shared" si="54"/>
        <v>280022.24364832818</v>
      </c>
      <c r="GV69" s="492">
        <f>+GX68</f>
        <v>23657024.859416664</v>
      </c>
      <c r="GW69" s="476">
        <f t="shared" si="83"/>
        <v>3686809.0689999992</v>
      </c>
      <c r="GX69" s="476">
        <f t="shared" si="55"/>
        <v>19970215.790416665</v>
      </c>
      <c r="GY69" s="493">
        <f t="shared" si="56"/>
        <v>6325555.7017623456</v>
      </c>
      <c r="GZ69" s="492">
        <f>+HB68</f>
        <v>61548365.324333332</v>
      </c>
      <c r="HA69" s="476">
        <f t="shared" ref="HA69:HA78" si="96">+HA68</f>
        <v>8028047.6510000005</v>
      </c>
      <c r="HB69" s="476">
        <f t="shared" si="61"/>
        <v>53520317.673333332</v>
      </c>
      <c r="HC69" s="493">
        <f t="shared" si="66"/>
        <v>15099907.04035379</v>
      </c>
      <c r="HD69" s="576">
        <f>+HF68</f>
        <v>-429896.72500000003</v>
      </c>
      <c r="HE69" s="580">
        <f t="shared" ref="HE69:HE78" si="97">+HE68</f>
        <v>-53183.1</v>
      </c>
      <c r="HF69" s="580">
        <f t="shared" si="67"/>
        <v>-376713.62500000006</v>
      </c>
      <c r="HG69" s="918">
        <f t="shared" si="84"/>
        <v>-102959.81848500879</v>
      </c>
      <c r="HH69" s="576">
        <f>+HJ68</f>
        <v>1081303.3333333335</v>
      </c>
      <c r="HI69" s="575">
        <f t="shared" ref="HI69:HI78" si="98">+HI68</f>
        <v>129756.4</v>
      </c>
      <c r="HJ69" s="575">
        <f t="shared" si="68"/>
        <v>951546.93333333347</v>
      </c>
      <c r="HK69" s="918">
        <f t="shared" si="85"/>
        <v>255488.20443315993</v>
      </c>
      <c r="HL69" s="576">
        <f>+HN68</f>
        <v>3997541.3916666666</v>
      </c>
      <c r="HM69" s="580">
        <f>+HL31</f>
        <v>440096.3</v>
      </c>
      <c r="HN69" s="580">
        <f t="shared" si="86"/>
        <v>3557445.0916666668</v>
      </c>
      <c r="HO69" s="918">
        <f t="shared" ref="HO69:HO88" si="99">+HL$29*HN69+HM69</f>
        <v>910156.13086958393</v>
      </c>
      <c r="HP69" s="576">
        <f>+HP30</f>
        <v>946579.94</v>
      </c>
      <c r="HQ69" s="580">
        <f>+HP$31/12*(12-$HP$32)</f>
        <v>39440.830833333326</v>
      </c>
      <c r="HR69" s="580">
        <f>+HP69-HQ69</f>
        <v>907139.10916666663</v>
      </c>
      <c r="HS69" s="918">
        <f>+(((HP$28*HR69)*(12-HP$32)/12))+HQ69</f>
        <v>89384.170932118359</v>
      </c>
      <c r="HT69" s="576"/>
      <c r="HU69" s="580"/>
      <c r="HV69" s="580"/>
      <c r="HW69" s="918"/>
      <c r="HX69" s="580"/>
      <c r="HY69" s="492"/>
      <c r="HZ69" s="476"/>
      <c r="IA69" s="476"/>
      <c r="IB69" s="493"/>
      <c r="IC69" s="492"/>
      <c r="ID69" s="476"/>
      <c r="IE69" s="476"/>
      <c r="IF69" s="493"/>
      <c r="IG69" s="492"/>
      <c r="IH69" s="476"/>
      <c r="II69" s="476"/>
      <c r="IJ69" s="493"/>
    </row>
    <row r="70" spans="1:244" ht="13">
      <c r="A70" s="554" t="s">
        <v>23</v>
      </c>
      <c r="B70" s="574">
        <f t="shared" si="0"/>
        <v>2021</v>
      </c>
      <c r="C70" s="575">
        <f>+C69</f>
        <v>14153895.494886361</v>
      </c>
      <c r="D70" s="575">
        <f>+D69</f>
        <v>445791.98409090913</v>
      </c>
      <c r="E70" s="575">
        <f t="shared" si="6"/>
        <v>13708103.510795452</v>
      </c>
      <c r="F70" s="558">
        <f>+C$29*E70+D70</f>
        <v>2077982.086279158</v>
      </c>
      <c r="G70" s="575">
        <f>+G69</f>
        <v>3648983.6106818155</v>
      </c>
      <c r="H70" s="575">
        <f>+H69</f>
        <v>115840.74954545456</v>
      </c>
      <c r="I70" s="575">
        <f t="shared" si="7"/>
        <v>3533142.861136361</v>
      </c>
      <c r="J70" s="558">
        <f>+G$29*I70+H70</f>
        <v>536523.36279114382</v>
      </c>
      <c r="K70" s="576">
        <f>+K69</f>
        <v>9391657.6549431756</v>
      </c>
      <c r="L70" s="575">
        <f>+L69</f>
        <v>305419.76113636367</v>
      </c>
      <c r="M70" s="575">
        <f t="shared" si="8"/>
        <v>9086237.8938068114</v>
      </c>
      <c r="N70" s="558">
        <f>+K$29*M70+L70</f>
        <v>1387295.7146349596</v>
      </c>
      <c r="O70" s="576">
        <f>+O69</f>
        <v>3917552.4469696954</v>
      </c>
      <c r="P70" s="575">
        <f>+P69</f>
        <v>119316.31818181818</v>
      </c>
      <c r="Q70" s="575">
        <f t="shared" si="11"/>
        <v>3798236.128787877</v>
      </c>
      <c r="R70" s="558">
        <f>+O$29*Q70+P70</f>
        <v>571562.93349947874</v>
      </c>
      <c r="S70" s="492">
        <f>+S69</f>
        <v>1817506.1533333315</v>
      </c>
      <c r="T70" s="476">
        <f>+T69</f>
        <v>58315.705454545445</v>
      </c>
      <c r="U70" s="476">
        <f t="shared" si="12"/>
        <v>1759190.4478787859</v>
      </c>
      <c r="V70" s="493">
        <f>+S$29*U70+T70</f>
        <v>267778.17665857635</v>
      </c>
      <c r="W70" s="492">
        <f>+W69</f>
        <v>22763140.314393941</v>
      </c>
      <c r="X70" s="476">
        <f>+X69</f>
        <v>693293.61363636365</v>
      </c>
      <c r="Y70" s="476">
        <f t="shared" si="13"/>
        <v>22069846.700757578</v>
      </c>
      <c r="Z70" s="493">
        <f>+W$29*Y70+X70</f>
        <v>3321095.8704124512</v>
      </c>
      <c r="AA70" s="492">
        <f>+AA69</f>
        <v>14839929.308712116</v>
      </c>
      <c r="AB70" s="476">
        <f>+AB69</f>
        <v>450833.29545454547</v>
      </c>
      <c r="AC70" s="476">
        <f t="shared" si="14"/>
        <v>14389096.013257571</v>
      </c>
      <c r="AD70" s="493">
        <f>+AA$29*AC70+AB70</f>
        <v>2164107.4966436327</v>
      </c>
      <c r="AE70" s="492">
        <f>+AE69</f>
        <v>149431.30681818194</v>
      </c>
      <c r="AF70" s="476">
        <f>+AF69</f>
        <v>4597.886363636364</v>
      </c>
      <c r="AG70" s="476">
        <f t="shared" si="15"/>
        <v>144833.42045454559</v>
      </c>
      <c r="AH70" s="493">
        <f>+AE$29*AG70+AF70</f>
        <v>21842.844803424279</v>
      </c>
      <c r="AI70" s="492">
        <f>+AI69</f>
        <v>9999354.7765151523</v>
      </c>
      <c r="AJ70" s="476">
        <f>+AJ69</f>
        <v>295547.43181818182</v>
      </c>
      <c r="AK70" s="476">
        <f t="shared" si="19"/>
        <v>9703807.3446969707</v>
      </c>
      <c r="AL70" s="493">
        <f>+AI$29*AK70+AJ70</f>
        <v>1450955.8578694495</v>
      </c>
      <c r="AM70" s="492">
        <f>+AM69</f>
        <v>3714041.6753409081</v>
      </c>
      <c r="AN70" s="476">
        <f>+AN69</f>
        <v>110866.91568181818</v>
      </c>
      <c r="AO70" s="476">
        <f t="shared" si="16"/>
        <v>3603174.7596590901</v>
      </c>
      <c r="AP70" s="493">
        <f>+AM$29*AO70+AN70</f>
        <v>539888.05449497444</v>
      </c>
      <c r="AQ70" s="492">
        <f>+AQ69</f>
        <v>30541463.007954553</v>
      </c>
      <c r="AR70" s="476">
        <f>+AR69</f>
        <v>904932.23727272719</v>
      </c>
      <c r="AS70" s="476">
        <f t="shared" si="17"/>
        <v>29636530.770681825</v>
      </c>
      <c r="AT70" s="493">
        <f>+AQ$29*AS70+AR70</f>
        <v>4433680.9185917666</v>
      </c>
      <c r="AU70" s="576">
        <f>+AU69</f>
        <v>20125000</v>
      </c>
      <c r="AV70" s="575">
        <f>+AV69</f>
        <v>750000</v>
      </c>
      <c r="AW70" s="575">
        <f t="shared" si="1"/>
        <v>19375000</v>
      </c>
      <c r="AX70" s="558">
        <f>+AU$29*AW70+AV70</f>
        <v>750000</v>
      </c>
      <c r="AY70" s="576">
        <f>+AY69</f>
        <v>13083333.333333332</v>
      </c>
      <c r="AZ70" s="575">
        <f>+AZ69</f>
        <v>500000</v>
      </c>
      <c r="BA70" s="575">
        <f t="shared" si="2"/>
        <v>12583333.333333332</v>
      </c>
      <c r="BB70" s="558">
        <f>+AY$29*BA70+AZ70</f>
        <v>500000</v>
      </c>
      <c r="BC70" s="576">
        <f>+BC69</f>
        <v>20500000</v>
      </c>
      <c r="BD70" s="575">
        <f>+BD69</f>
        <v>750000</v>
      </c>
      <c r="BE70" s="575">
        <f t="shared" si="4"/>
        <v>19750000</v>
      </c>
      <c r="BF70" s="558">
        <f>+BC$29*BE70+BD70</f>
        <v>750000</v>
      </c>
      <c r="BG70" s="576">
        <f>+BG69</f>
        <v>13095238.095238101</v>
      </c>
      <c r="BH70" s="575">
        <f>+BH69</f>
        <v>571428.57142857148</v>
      </c>
      <c r="BI70" s="575">
        <f t="shared" si="5"/>
        <v>12523809.52380953</v>
      </c>
      <c r="BJ70" s="558">
        <f>+BG$29*BI70+BH70</f>
        <v>571428.57142857148</v>
      </c>
      <c r="BK70" s="576">
        <f>+BK69</f>
        <v>16400000</v>
      </c>
      <c r="BL70" s="575">
        <f>+BL69</f>
        <v>1200000</v>
      </c>
      <c r="BM70" s="575">
        <f t="shared" si="9"/>
        <v>15200000</v>
      </c>
      <c r="BN70" s="558">
        <f>+BK$29*BM70+BL70</f>
        <v>1200000</v>
      </c>
      <c r="BO70" s="576">
        <f>+BO69</f>
        <v>12499999.999999998</v>
      </c>
      <c r="BP70" s="575">
        <f>+BP69</f>
        <v>666666.66666666663</v>
      </c>
      <c r="BQ70" s="575">
        <f t="shared" si="10"/>
        <v>11833333.333333332</v>
      </c>
      <c r="BR70" s="558">
        <f>+BO$29*BQ70+BP70</f>
        <v>666666.66666666663</v>
      </c>
      <c r="BS70" s="492">
        <f>+BS69</f>
        <v>282570.13636363647</v>
      </c>
      <c r="BT70" s="476">
        <f>+BT69</f>
        <v>8310.886363636364</v>
      </c>
      <c r="BU70" s="476">
        <f t="shared" si="18"/>
        <v>274259.25000000012</v>
      </c>
      <c r="BV70" s="493">
        <f>+BS$29*BU70+BT70</f>
        <v>40966.259364799014</v>
      </c>
      <c r="BW70" s="492">
        <f>+BW69</f>
        <v>19901022.340909097</v>
      </c>
      <c r="BX70" s="476">
        <f>+BX69</f>
        <v>576841.22727272729</v>
      </c>
      <c r="BY70" s="476">
        <f t="shared" si="20"/>
        <v>19324181.113636371</v>
      </c>
      <c r="BZ70" s="493">
        <f>+BW$29*BY70+BX70</f>
        <v>2751763.700514026</v>
      </c>
      <c r="CA70" s="492">
        <f>+CA69</f>
        <v>1882506.4000000008</v>
      </c>
      <c r="CB70" s="476">
        <f>+CB69</f>
        <v>54433.919999999998</v>
      </c>
      <c r="CC70" s="476">
        <f t="shared" si="21"/>
        <v>1828072.4800000009</v>
      </c>
      <c r="CD70" s="493">
        <f>+CA$29*CC70+CB70</f>
        <v>272098.00501284987</v>
      </c>
      <c r="CE70" s="492">
        <f>+CE69</f>
        <v>161832.24636363643</v>
      </c>
      <c r="CF70" s="476">
        <f>+CF69</f>
        <v>4725.0290909090909</v>
      </c>
      <c r="CG70" s="476">
        <f t="shared" si="22"/>
        <v>157107.21727272734</v>
      </c>
      <c r="CH70" s="493">
        <f>+CE$29*CG70+CF70</f>
        <v>23431.398269763085</v>
      </c>
      <c r="CI70" s="492">
        <f>+CI69</f>
        <v>434755.90909090894</v>
      </c>
      <c r="CJ70" s="476">
        <f>+CJ69</f>
        <v>12362.727272727272</v>
      </c>
      <c r="CK70" s="476">
        <f t="shared" si="23"/>
        <v>422393.18181818165</v>
      </c>
      <c r="CL70" s="493">
        <f>+CI$29*CK70+CJ70</f>
        <v>59902.771442153287</v>
      </c>
      <c r="CM70" s="492">
        <f>+CM69</f>
        <v>19226743.042329546</v>
      </c>
      <c r="CN70" s="476">
        <f>+CN69</f>
        <v>483691.64886363636</v>
      </c>
      <c r="CO70" s="476">
        <f t="shared" si="33"/>
        <v>18743051.39346591</v>
      </c>
      <c r="CP70" s="493">
        <f>+CM$29*CO70+CN70</f>
        <v>2593208.3964581564</v>
      </c>
      <c r="CQ70" s="492">
        <f>+CQ69</f>
        <v>80205004.581647709</v>
      </c>
      <c r="CR70" s="476">
        <f>+CR69</f>
        <v>2017735.9643181816</v>
      </c>
      <c r="CS70" s="476">
        <f t="shared" si="38"/>
        <v>78187268.617329523</v>
      </c>
      <c r="CT70" s="493">
        <f>+CQ$29*CS70+CR70</f>
        <v>10817655.952502577</v>
      </c>
      <c r="CU70" s="492">
        <f>+CU69</f>
        <v>27047814.900000006</v>
      </c>
      <c r="CV70" s="476">
        <f>+CV69</f>
        <v>676195.37250000006</v>
      </c>
      <c r="CW70" s="476">
        <f t="shared" si="39"/>
        <v>26371619.527500007</v>
      </c>
      <c r="CX70" s="493">
        <f>+CU$29*CW70+CV70</f>
        <v>3644301.8929700777</v>
      </c>
      <c r="CY70" s="492">
        <f>+CY69</f>
        <v>29715.81647727278</v>
      </c>
      <c r="CZ70" s="476">
        <f>+CZ69</f>
        <v>733.72386363636497</v>
      </c>
      <c r="DA70" s="476">
        <f t="shared" si="40"/>
        <v>28982.092613636414</v>
      </c>
      <c r="DB70" s="493">
        <f>+CY$29*DA70+CZ70</f>
        <v>3995.6372237051037</v>
      </c>
      <c r="DC70" s="492">
        <f>+DC69</f>
        <v>1792359.5772727274</v>
      </c>
      <c r="DD70" s="476">
        <f>+DD69</f>
        <v>44530.672727272722</v>
      </c>
      <c r="DE70" s="476">
        <f t="shared" si="41"/>
        <v>1747828.9045454548</v>
      </c>
      <c r="DF70" s="493">
        <f>+DC$29*DE70+DD70</f>
        <v>241247.5396166089</v>
      </c>
      <c r="DG70" s="492">
        <f>+DG69</f>
        <v>997898.70988636347</v>
      </c>
      <c r="DH70" s="476">
        <f>+DH69</f>
        <v>24639.474318181816</v>
      </c>
      <c r="DI70" s="476">
        <f t="shared" si="42"/>
        <v>973259.23556818161</v>
      </c>
      <c r="DJ70" s="493">
        <f>+DG$29*DI70+DH70</f>
        <v>134179.09057820341</v>
      </c>
      <c r="DK70" s="492">
        <f>+DK69</f>
        <v>22077962.156022727</v>
      </c>
      <c r="DL70" s="476">
        <f>+DL69</f>
        <v>549658.80886363634</v>
      </c>
      <c r="DM70" s="476">
        <f t="shared" si="43"/>
        <v>21528303.347159091</v>
      </c>
      <c r="DN70" s="493">
        <f>+DK$29*DM70+DL70</f>
        <v>2972653.6299715443</v>
      </c>
      <c r="DO70" s="492">
        <f>+DO69</f>
        <v>806566.30905302987</v>
      </c>
      <c r="DP70" s="476">
        <f t="shared" si="87"/>
        <v>19592.703863636354</v>
      </c>
      <c r="DQ70" s="476">
        <f t="shared" si="57"/>
        <v>786973.60518939351</v>
      </c>
      <c r="DR70" s="493">
        <f t="shared" si="62"/>
        <v>108166.00845589762</v>
      </c>
      <c r="DS70" s="492">
        <f>+DS69</f>
        <v>344273.73818181694</v>
      </c>
      <c r="DT70" s="476">
        <f t="shared" si="88"/>
        <v>8295.7527272726966</v>
      </c>
      <c r="DU70" s="476">
        <f t="shared" si="58"/>
        <v>335977.98545454425</v>
      </c>
      <c r="DV70" s="493">
        <f t="shared" si="63"/>
        <v>46109.829648947765</v>
      </c>
      <c r="DW70" s="492">
        <f>+DW69</f>
        <v>50397.740624999991</v>
      </c>
      <c r="DX70" s="476">
        <f t="shared" si="89"/>
        <v>1221.7634090909089</v>
      </c>
      <c r="DY70" s="476">
        <f t="shared" si="59"/>
        <v>49175.977215909079</v>
      </c>
      <c r="DZ70" s="493">
        <f t="shared" si="64"/>
        <v>6756.4837349633062</v>
      </c>
      <c r="EA70" s="492">
        <f>+EA69</f>
        <v>-298459.30835227465</v>
      </c>
      <c r="EB70" s="476">
        <f t="shared" si="90"/>
        <v>-7120.3015909091364</v>
      </c>
      <c r="EC70" s="476">
        <f t="shared" si="60"/>
        <v>-291339.00676136551</v>
      </c>
      <c r="ED70" s="493">
        <f t="shared" si="65"/>
        <v>-39910.294057392275</v>
      </c>
      <c r="EE70" s="576">
        <f>+EE69</f>
        <v>8357510.4322727285</v>
      </c>
      <c r="EF70" s="580">
        <f t="shared" ref="EF70:EF78" si="100">+EF69</f>
        <v>192495.44181818186</v>
      </c>
      <c r="EG70" s="580">
        <f t="shared" si="69"/>
        <v>8165014.9904545471</v>
      </c>
      <c r="EH70" s="493">
        <f t="shared" si="91"/>
        <v>1111461.9166542261</v>
      </c>
      <c r="EI70" s="576">
        <f>+EI69</f>
        <v>337350.16973484849</v>
      </c>
      <c r="EJ70" s="580">
        <f t="shared" ref="EJ70:EJ78" si="101">+EJ69</f>
        <v>7696.2015909090906</v>
      </c>
      <c r="EK70" s="580">
        <f t="shared" si="70"/>
        <v>329653.96814393939</v>
      </c>
      <c r="EL70" s="493">
        <f t="shared" si="92"/>
        <v>44798.514982263303</v>
      </c>
      <c r="EM70" s="576">
        <f>+EM69</f>
        <v>11496164.189999999</v>
      </c>
      <c r="EN70" s="580">
        <f t="shared" ref="EN70:EN78" si="102">+EN69</f>
        <v>261276.45886363636</v>
      </c>
      <c r="EO70" s="580">
        <f t="shared" si="71"/>
        <v>11234887.731136363</v>
      </c>
      <c r="EP70" s="493">
        <f t="shared" si="93"/>
        <v>1525754.8689499777</v>
      </c>
      <c r="EQ70" s="576">
        <f>+EQ69</f>
        <v>22025520.259999998</v>
      </c>
      <c r="ER70" s="580">
        <f>+ER69</f>
        <v>250290.00295454543</v>
      </c>
      <c r="ES70" s="580">
        <f t="shared" si="94"/>
        <v>21775230.257045452</v>
      </c>
      <c r="ET70" s="493">
        <f>+(((EQ$29*ES70)*(12-EQ$32)/12))+ER70</f>
        <v>1475683.1352056249</v>
      </c>
      <c r="EU70" s="576">
        <f>+EU69</f>
        <v>28459889.720000003</v>
      </c>
      <c r="EV70" s="580">
        <f>+EV69</f>
        <v>323407.83772727277</v>
      </c>
      <c r="EW70" s="580">
        <f t="shared" si="95"/>
        <v>28136481.882272732</v>
      </c>
      <c r="EX70" s="493">
        <f>+(((EU$29*EW70)*(12-EU$32)/12))+EV70</f>
        <v>1906778.0825993503</v>
      </c>
      <c r="EY70" s="582">
        <f t="shared" ref="EY70:EY133" si="103">+R70+J70+F70+N70+V70+Z70+AD70+AH70+AL70+AP70+AT70+BV70+BZ70+CD70+CH70+CL70+CP70+CT70+CX70+DB70+DF70+DJ70+DN70+DR70+DV70+DZ70+ED70+EH70+EL70+EP70+ET70+EX70</f>
        <v>46513716.136777341</v>
      </c>
      <c r="EZ70" s="579">
        <f>+EY70</f>
        <v>46513716.136777341</v>
      </c>
      <c r="FA70" s="553"/>
      <c r="FB70" s="758"/>
      <c r="FD70" s="492">
        <f>+FD69</f>
        <v>4023923.2333333357</v>
      </c>
      <c r="FE70" s="476">
        <f t="shared" si="72"/>
        <v>1270712.6000000001</v>
      </c>
      <c r="FF70" s="476">
        <f t="shared" si="24"/>
        <v>2753210.6333333356</v>
      </c>
      <c r="FG70" s="493">
        <f t="shared" si="44"/>
        <v>1634505.628790414</v>
      </c>
      <c r="FH70" s="492">
        <f>+FH69</f>
        <v>3577617.5999999982</v>
      </c>
      <c r="FI70" s="476">
        <f t="shared" si="73"/>
        <v>894404.4</v>
      </c>
      <c r="FJ70" s="476">
        <f t="shared" si="25"/>
        <v>2683213.1999999983</v>
      </c>
      <c r="FK70" s="493">
        <f t="shared" si="45"/>
        <v>1248948.3804351634</v>
      </c>
      <c r="FL70" s="492">
        <f>+FL69</f>
        <v>550129.48141666641</v>
      </c>
      <c r="FM70" s="476">
        <f t="shared" si="74"/>
        <v>140458.59099999999</v>
      </c>
      <c r="FN70" s="476">
        <f t="shared" si="26"/>
        <v>409670.8904166664</v>
      </c>
      <c r="FO70" s="493">
        <f t="shared" si="46"/>
        <v>194590.08832445508</v>
      </c>
      <c r="FP70" s="492">
        <f>+FP69</f>
        <v>67841.200000000012</v>
      </c>
      <c r="FQ70" s="476">
        <f t="shared" si="75"/>
        <v>16960.3</v>
      </c>
      <c r="FR70" s="476">
        <f t="shared" si="27"/>
        <v>50880.900000000009</v>
      </c>
      <c r="FS70" s="493">
        <f t="shared" si="47"/>
        <v>23683.40229173124</v>
      </c>
      <c r="FT70" s="492">
        <f>+FT69</f>
        <v>5224.1083333333336</v>
      </c>
      <c r="FU70" s="476">
        <f t="shared" si="76"/>
        <v>1253.7860000000001</v>
      </c>
      <c r="FV70" s="476">
        <f t="shared" si="32"/>
        <v>3970.3223333333335</v>
      </c>
      <c r="FW70" s="493">
        <f t="shared" si="48"/>
        <v>1778.4009965536195</v>
      </c>
      <c r="FX70" s="492">
        <f>+FX69</f>
        <v>17141354.914999995</v>
      </c>
      <c r="FY70" s="476">
        <f t="shared" si="77"/>
        <v>4033259.9799999995</v>
      </c>
      <c r="FZ70" s="476">
        <f t="shared" si="28"/>
        <v>13108094.934999995</v>
      </c>
      <c r="GA70" s="493">
        <f t="shared" si="49"/>
        <v>5765286.4004785903</v>
      </c>
      <c r="GB70" s="492">
        <f>+GB69</f>
        <v>243161.15083333338</v>
      </c>
      <c r="GC70" s="476">
        <f t="shared" si="78"/>
        <v>53053.342000000004</v>
      </c>
      <c r="GD70" s="476">
        <f t="shared" si="29"/>
        <v>190107.80883333337</v>
      </c>
      <c r="GE70" s="493">
        <f t="shared" si="50"/>
        <v>78173.067579606257</v>
      </c>
      <c r="GF70" s="492">
        <f>+GF69</f>
        <v>-247072.34749999992</v>
      </c>
      <c r="GG70" s="476">
        <f t="shared" si="79"/>
        <v>-53906.693999999974</v>
      </c>
      <c r="GH70" s="476">
        <f t="shared" si="30"/>
        <v>-193165.65349999996</v>
      </c>
      <c r="GI70" s="493">
        <f t="shared" si="51"/>
        <v>-79430.4651543941</v>
      </c>
      <c r="GJ70" s="492">
        <f>+GJ69</f>
        <v>16083026.629833339</v>
      </c>
      <c r="GK70" s="476">
        <f t="shared" si="80"/>
        <v>3327522.7509999997</v>
      </c>
      <c r="GL70" s="476">
        <f t="shared" si="31"/>
        <v>12755503.878833339</v>
      </c>
      <c r="GM70" s="493">
        <f t="shared" si="52"/>
        <v>5012959.867088181</v>
      </c>
      <c r="GN70" s="492">
        <f>+GN69</f>
        <v>244779.09674999994</v>
      </c>
      <c r="GO70" s="476">
        <f t="shared" si="81"/>
        <v>49785.578999999998</v>
      </c>
      <c r="GP70" s="476">
        <f t="shared" si="36"/>
        <v>194993.51774999994</v>
      </c>
      <c r="GQ70" s="493">
        <f t="shared" si="53"/>
        <v>75550.873365032079</v>
      </c>
      <c r="GR70" s="492">
        <f>+GR69</f>
        <v>965834.05049999978</v>
      </c>
      <c r="GS70" s="476">
        <f t="shared" si="82"/>
        <v>175606.19100000002</v>
      </c>
      <c r="GT70" s="476">
        <f t="shared" si="37"/>
        <v>790227.85949999979</v>
      </c>
      <c r="GU70" s="493">
        <f t="shared" si="54"/>
        <v>280022.24364832818</v>
      </c>
      <c r="GV70" s="492">
        <f>+GV69</f>
        <v>23657024.859416664</v>
      </c>
      <c r="GW70" s="476">
        <f t="shared" si="83"/>
        <v>3686809.0689999992</v>
      </c>
      <c r="GX70" s="476">
        <f t="shared" si="55"/>
        <v>19970215.790416665</v>
      </c>
      <c r="GY70" s="493">
        <f t="shared" si="56"/>
        <v>6325555.7017623456</v>
      </c>
      <c r="GZ70" s="492">
        <f>+GZ69</f>
        <v>61548365.324333332</v>
      </c>
      <c r="HA70" s="476">
        <f t="shared" si="96"/>
        <v>8028047.6510000005</v>
      </c>
      <c r="HB70" s="476">
        <f t="shared" si="61"/>
        <v>53520317.673333332</v>
      </c>
      <c r="HC70" s="493">
        <f t="shared" si="66"/>
        <v>15099907.04035379</v>
      </c>
      <c r="HD70" s="576">
        <f>+HD69</f>
        <v>-429896.72500000003</v>
      </c>
      <c r="HE70" s="580">
        <f t="shared" si="97"/>
        <v>-53183.1</v>
      </c>
      <c r="HF70" s="580">
        <f t="shared" si="67"/>
        <v>-376713.62500000006</v>
      </c>
      <c r="HG70" s="918">
        <f t="shared" si="84"/>
        <v>-102959.81848500879</v>
      </c>
      <c r="HH70" s="576">
        <f>+HH69</f>
        <v>1081303.3333333335</v>
      </c>
      <c r="HI70" s="575">
        <f t="shared" si="98"/>
        <v>129756.4</v>
      </c>
      <c r="HJ70" s="575">
        <f t="shared" si="68"/>
        <v>951546.93333333347</v>
      </c>
      <c r="HK70" s="918">
        <f t="shared" si="85"/>
        <v>255488.20443315993</v>
      </c>
      <c r="HL70" s="576">
        <f>+HL69</f>
        <v>3997541.3916666666</v>
      </c>
      <c r="HM70" s="580">
        <f t="shared" ref="HM70:HM78" si="104">+HM69</f>
        <v>440096.3</v>
      </c>
      <c r="HN70" s="580">
        <f t="shared" si="86"/>
        <v>3557445.0916666668</v>
      </c>
      <c r="HO70" s="918">
        <f t="shared" si="99"/>
        <v>910156.13086958393</v>
      </c>
      <c r="HP70" s="576">
        <f>+HP69</f>
        <v>946579.94</v>
      </c>
      <c r="HQ70" s="580">
        <f>+HQ69</f>
        <v>39440.830833333326</v>
      </c>
      <c r="HR70" s="580">
        <f t="shared" ref="HR70:HR90" si="105">+HP70-HQ70</f>
        <v>907139.10916666663</v>
      </c>
      <c r="HS70" s="918">
        <f>+(((HP$29*HR70)*(12-HP$32)/12))+HQ70</f>
        <v>89384.170932118359</v>
      </c>
      <c r="HT70" s="576"/>
      <c r="HU70" s="580"/>
      <c r="HV70" s="580"/>
      <c r="HW70" s="918"/>
      <c r="HY70" s="492"/>
      <c r="HZ70" s="476"/>
      <c r="IA70" s="476"/>
      <c r="IB70" s="493"/>
      <c r="IC70" s="492"/>
      <c r="ID70" s="476"/>
      <c r="IE70" s="476"/>
      <c r="IF70" s="493"/>
      <c r="IG70" s="492"/>
      <c r="IH70" s="476"/>
      <c r="II70" s="476"/>
      <c r="IJ70" s="493"/>
    </row>
    <row r="71" spans="1:244">
      <c r="A71" s="554" t="s">
        <v>24</v>
      </c>
      <c r="B71" s="574">
        <f t="shared" si="0"/>
        <v>2022</v>
      </c>
      <c r="C71" s="575">
        <f>+E70</f>
        <v>13708103.510795452</v>
      </c>
      <c r="D71" s="575">
        <f>+C$31</f>
        <v>445791.98409090913</v>
      </c>
      <c r="E71" s="575">
        <f t="shared" si="6"/>
        <v>13262311.526704542</v>
      </c>
      <c r="F71" s="558">
        <f>+C$28*E71+D71</f>
        <v>1938455.4618825922</v>
      </c>
      <c r="G71" s="575">
        <f>+I70</f>
        <v>3533142.861136361</v>
      </c>
      <c r="H71" s="575">
        <f>+G$31</f>
        <v>115840.74954545456</v>
      </c>
      <c r="I71" s="575">
        <f t="shared" si="7"/>
        <v>3417302.1115909065</v>
      </c>
      <c r="J71" s="558">
        <f>+G$28*I71+H71</f>
        <v>500455.60678818944</v>
      </c>
      <c r="K71" s="576">
        <f>+M70</f>
        <v>9086237.8938068114</v>
      </c>
      <c r="L71" s="575">
        <f>+K$31</f>
        <v>305419.76113636367</v>
      </c>
      <c r="M71" s="575">
        <f t="shared" si="8"/>
        <v>8780818.1326704472</v>
      </c>
      <c r="N71" s="558">
        <f>+K$28*M71+L71</f>
        <v>1293694.4299508247</v>
      </c>
      <c r="O71" s="576">
        <f>+Q70</f>
        <v>3798236.128787877</v>
      </c>
      <c r="P71" s="575">
        <f>+O$31</f>
        <v>119316.31818181818</v>
      </c>
      <c r="Q71" s="575">
        <f t="shared" si="11"/>
        <v>3678919.8106060587</v>
      </c>
      <c r="R71" s="558">
        <f>+O$28*Q71+P71</f>
        <v>533376.05640759307</v>
      </c>
      <c r="S71" s="492">
        <f>+U70</f>
        <v>1759190.4478787859</v>
      </c>
      <c r="T71" s="476">
        <f>+S$31</f>
        <v>58315.705454545445</v>
      </c>
      <c r="U71" s="476">
        <f t="shared" si="12"/>
        <v>1700874.7424242403</v>
      </c>
      <c r="V71" s="493">
        <f>+S$28*U71+T71</f>
        <v>249747.91568448086</v>
      </c>
      <c r="W71" s="492">
        <f>+Y70</f>
        <v>22069846.700757578</v>
      </c>
      <c r="X71" s="476">
        <f>+W$31</f>
        <v>693293.61363636365</v>
      </c>
      <c r="Y71" s="476">
        <f t="shared" si="13"/>
        <v>21376553.087121215</v>
      </c>
      <c r="Z71" s="493">
        <f>+W$28*Y71+X71</f>
        <v>3099209.0537896147</v>
      </c>
      <c r="AA71" s="492">
        <f>+AC70</f>
        <v>14389096.013257571</v>
      </c>
      <c r="AB71" s="476">
        <f>+AA$31</f>
        <v>450833.29545454547</v>
      </c>
      <c r="AC71" s="476">
        <f t="shared" si="14"/>
        <v>13938262.717803026</v>
      </c>
      <c r="AD71" s="493">
        <f>+AA$28*AC71+AB71</f>
        <v>2019574.586204465</v>
      </c>
      <c r="AE71" s="492">
        <f>+AG70</f>
        <v>144833.42045454559</v>
      </c>
      <c r="AF71" s="476">
        <f>+AE$31</f>
        <v>4597.886363636364</v>
      </c>
      <c r="AG71" s="476">
        <f t="shared" si="15"/>
        <v>140235.53409090923</v>
      </c>
      <c r="AH71" s="493">
        <f>+AE$28*AG71+AF71</f>
        <v>20381.293321361798</v>
      </c>
      <c r="AI71" s="492">
        <f>+AK70</f>
        <v>9703807.3446969707</v>
      </c>
      <c r="AJ71" s="476">
        <f>+AI$31</f>
        <v>295547.43181818182</v>
      </c>
      <c r="AK71" s="476">
        <f t="shared" si="19"/>
        <v>9408259.912878789</v>
      </c>
      <c r="AL71" s="493">
        <f>+AI$28*AK71+AJ71</f>
        <v>1354440.2148182255</v>
      </c>
      <c r="AM71" s="492">
        <f>+AO70</f>
        <v>3603174.7596590901</v>
      </c>
      <c r="AN71" s="476">
        <f>+AM$31</f>
        <v>110866.91568181818</v>
      </c>
      <c r="AO71" s="476">
        <f t="shared" si="16"/>
        <v>3492307.843977272</v>
      </c>
      <c r="AP71" s="493">
        <f>+AM$28*AO71+AN71</f>
        <v>503923.61333319591</v>
      </c>
      <c r="AQ71" s="492">
        <f>+AS70</f>
        <v>29636530.770681825</v>
      </c>
      <c r="AR71" s="476">
        <f>+AQ$31</f>
        <v>904932.23727272719</v>
      </c>
      <c r="AS71" s="476">
        <f t="shared" si="17"/>
        <v>28731598.533409096</v>
      </c>
      <c r="AT71" s="493">
        <f>+AQ$28*AS71+AR71</f>
        <v>4138652.6715301955</v>
      </c>
      <c r="AU71" s="576">
        <f>+AW70</f>
        <v>19375000</v>
      </c>
      <c r="AV71" s="575">
        <f>+AU$31</f>
        <v>750000</v>
      </c>
      <c r="AW71" s="575">
        <f t="shared" si="1"/>
        <v>18625000</v>
      </c>
      <c r="AX71" s="558">
        <f>+AU$28*AW71+AV71</f>
        <v>750000</v>
      </c>
      <c r="AY71" s="576">
        <f>+BA70</f>
        <v>12583333.333333332</v>
      </c>
      <c r="AZ71" s="575">
        <f>+AY$31</f>
        <v>500000</v>
      </c>
      <c r="BA71" s="575">
        <f t="shared" si="2"/>
        <v>12083333.333333332</v>
      </c>
      <c r="BB71" s="558">
        <f>+AY$28*BA71+AZ71</f>
        <v>500000</v>
      </c>
      <c r="BC71" s="576">
        <f>+BE70</f>
        <v>19750000</v>
      </c>
      <c r="BD71" s="575">
        <f>+BC$31</f>
        <v>750000</v>
      </c>
      <c r="BE71" s="575">
        <f t="shared" si="4"/>
        <v>19000000</v>
      </c>
      <c r="BF71" s="558">
        <f>+BC$28*BE71+BD71</f>
        <v>750000</v>
      </c>
      <c r="BG71" s="576">
        <f>+BI70</f>
        <v>12523809.52380953</v>
      </c>
      <c r="BH71" s="575">
        <f>+BG$31</f>
        <v>571428.57142857148</v>
      </c>
      <c r="BI71" s="575">
        <f t="shared" si="5"/>
        <v>11952380.952380959</v>
      </c>
      <c r="BJ71" s="558">
        <f>+BG$28*BI71+BH71</f>
        <v>571428.57142857148</v>
      </c>
      <c r="BK71" s="576">
        <f>+BM70</f>
        <v>15200000</v>
      </c>
      <c r="BL71" s="575">
        <f>+BK$31</f>
        <v>1200000</v>
      </c>
      <c r="BM71" s="575">
        <f t="shared" si="9"/>
        <v>14000000</v>
      </c>
      <c r="BN71" s="558">
        <f>+BK$28*BM71+BL71</f>
        <v>1200000</v>
      </c>
      <c r="BO71" s="576">
        <f>+BQ70</f>
        <v>11833333.333333332</v>
      </c>
      <c r="BP71" s="575">
        <f>+BO$31</f>
        <v>666666.66666666663</v>
      </c>
      <c r="BQ71" s="575">
        <f t="shared" si="10"/>
        <v>11166666.666666666</v>
      </c>
      <c r="BR71" s="558">
        <f>+BO$28*BQ71+BP71</f>
        <v>666666.66666666663</v>
      </c>
      <c r="BS71" s="492">
        <f>+BU70</f>
        <v>274259.25000000012</v>
      </c>
      <c r="BT71" s="476">
        <f>+BS$31</f>
        <v>8310.886363636364</v>
      </c>
      <c r="BU71" s="476">
        <f t="shared" si="18"/>
        <v>265948.36363636376</v>
      </c>
      <c r="BV71" s="493">
        <f>+BS$28*BU71+BT71</f>
        <v>38243.18048741213</v>
      </c>
      <c r="BW71" s="492">
        <f>+BY70</f>
        <v>19324181.113636371</v>
      </c>
      <c r="BX71" s="476">
        <f>+BW$31</f>
        <v>576841.22727272729</v>
      </c>
      <c r="BY71" s="476">
        <f t="shared" si="20"/>
        <v>18747339.886363644</v>
      </c>
      <c r="BZ71" s="493">
        <f>+BW$28*BY71+BX71</f>
        <v>2686840.6416113004</v>
      </c>
      <c r="CA71" s="492">
        <f>+CC70</f>
        <v>1828072.4800000009</v>
      </c>
      <c r="CB71" s="476">
        <f>+CA$31</f>
        <v>54433.919999999998</v>
      </c>
      <c r="CC71" s="476">
        <f t="shared" si="21"/>
        <v>1773638.560000001</v>
      </c>
      <c r="CD71" s="493">
        <f>+CA$28*CC71+CB71</f>
        <v>254055.64476375835</v>
      </c>
      <c r="CE71" s="492">
        <f>+CG70</f>
        <v>157107.21727272734</v>
      </c>
      <c r="CF71" s="476">
        <f>+CE$31</f>
        <v>4725.0290909090909</v>
      </c>
      <c r="CG71" s="476">
        <f t="shared" si="22"/>
        <v>152382.18818181826</v>
      </c>
      <c r="CH71" s="493">
        <f>+CE$28*CG71+CF71</f>
        <v>21875.533096714051</v>
      </c>
      <c r="CI71" s="492">
        <f>+CK70</f>
        <v>422393.18181818165</v>
      </c>
      <c r="CJ71" s="476">
        <f>+CI$31</f>
        <v>12362.727272727272</v>
      </c>
      <c r="CK71" s="476">
        <f t="shared" si="23"/>
        <v>410030.45454545435</v>
      </c>
      <c r="CL71" s="493">
        <f>+CI$28*CK71+CJ71</f>
        <v>58511.355515243253</v>
      </c>
      <c r="CM71" s="492">
        <f>+CO70</f>
        <v>18743051.39346591</v>
      </c>
      <c r="CN71" s="476">
        <f>+CM$31</f>
        <v>483691.64886363636</v>
      </c>
      <c r="CO71" s="476">
        <f t="shared" si="33"/>
        <v>18259359.744602274</v>
      </c>
      <c r="CP71" s="493">
        <f>+CM$28*CO71+CN71</f>
        <v>2538769.2545847492</v>
      </c>
      <c r="CQ71" s="492">
        <f>+CS70</f>
        <v>78187268.617329523</v>
      </c>
      <c r="CR71" s="476">
        <f>+CQ$31</f>
        <v>2017735.9643181816</v>
      </c>
      <c r="CS71" s="476">
        <f t="shared" si="38"/>
        <v>76169532.653011337</v>
      </c>
      <c r="CT71" s="493">
        <f>+CQ$28*CS71+CR71</f>
        <v>10590561.243130077</v>
      </c>
      <c r="CU71" s="492">
        <f>+CW70</f>
        <v>26371619.527500007</v>
      </c>
      <c r="CV71" s="476">
        <f>+CU$31</f>
        <v>676195.37250000006</v>
      </c>
      <c r="CW71" s="476">
        <f t="shared" si="39"/>
        <v>25695424.155000009</v>
      </c>
      <c r="CX71" s="493">
        <f>+CU$28*CW71+CV71</f>
        <v>3568196.5975734093</v>
      </c>
      <c r="CY71" s="492">
        <f>+DA70</f>
        <v>28982.092613636414</v>
      </c>
      <c r="CZ71" s="476">
        <f>+CY$31</f>
        <v>733.72386363636497</v>
      </c>
      <c r="DA71" s="476">
        <f t="shared" si="40"/>
        <v>28248.368750000049</v>
      </c>
      <c r="DB71" s="493">
        <f>+CY$28*DA71+CZ71</f>
        <v>3913.0571386400725</v>
      </c>
      <c r="DC71" s="492">
        <f>+DE70</f>
        <v>1747828.9045454548</v>
      </c>
      <c r="DD71" s="476">
        <f>+DC$31</f>
        <v>44530.672727272722</v>
      </c>
      <c r="DE71" s="476">
        <f t="shared" si="41"/>
        <v>1703298.2318181822</v>
      </c>
      <c r="DF71" s="493">
        <f>+DC$28*DE71+DD71</f>
        <v>236235.64491879143</v>
      </c>
      <c r="DG71" s="492">
        <f>+DI70</f>
        <v>973259.23556818161</v>
      </c>
      <c r="DH71" s="476">
        <f>+DG$31</f>
        <v>24639.474318181816</v>
      </c>
      <c r="DI71" s="476">
        <f t="shared" si="42"/>
        <v>948619.76124999975</v>
      </c>
      <c r="DJ71" s="493">
        <f>+DG$28*DI71+DH71</f>
        <v>131405.93573617755</v>
      </c>
      <c r="DK71" s="492">
        <f>+DM70</f>
        <v>21528303.347159091</v>
      </c>
      <c r="DL71" s="476">
        <f>+DK$31</f>
        <v>549658.80886363634</v>
      </c>
      <c r="DM71" s="476">
        <f t="shared" si="43"/>
        <v>20978644.538295455</v>
      </c>
      <c r="DN71" s="493">
        <f>+DK$28*DM71+DL71</f>
        <v>2910789.9324113429</v>
      </c>
      <c r="DO71" s="492">
        <f>+DQ70</f>
        <v>786973.60518939351</v>
      </c>
      <c r="DP71" s="476">
        <f t="shared" si="87"/>
        <v>19592.703863636354</v>
      </c>
      <c r="DQ71" s="476">
        <f t="shared" si="57"/>
        <v>767380.90132575715</v>
      </c>
      <c r="DR71" s="493">
        <f t="shared" si="62"/>
        <v>105960.86394322722</v>
      </c>
      <c r="DS71" s="492">
        <f>+DU70</f>
        <v>335977.98545454425</v>
      </c>
      <c r="DT71" s="476">
        <f t="shared" si="88"/>
        <v>8295.7527272726966</v>
      </c>
      <c r="DU71" s="476">
        <f t="shared" si="58"/>
        <v>327682.23272727156</v>
      </c>
      <c r="DV71" s="493">
        <f t="shared" si="63"/>
        <v>45176.148737301468</v>
      </c>
      <c r="DW71" s="492">
        <f>+DY70</f>
        <v>49175.977215909079</v>
      </c>
      <c r="DX71" s="476">
        <f t="shared" si="89"/>
        <v>1221.7634090909089</v>
      </c>
      <c r="DY71" s="476">
        <f t="shared" si="59"/>
        <v>47954.213806818167</v>
      </c>
      <c r="DZ71" s="493">
        <f t="shared" si="64"/>
        <v>6618.9751554385257</v>
      </c>
      <c r="EA71" s="492">
        <f>+EC70</f>
        <v>-291339.00676136551</v>
      </c>
      <c r="EB71" s="476">
        <f t="shared" si="90"/>
        <v>-7120.3015909091364</v>
      </c>
      <c r="EC71" s="476">
        <f t="shared" si="60"/>
        <v>-284218.70517045638</v>
      </c>
      <c r="ED71" s="493">
        <f t="shared" si="65"/>
        <v>-39108.909312793912</v>
      </c>
      <c r="EE71" s="576">
        <f>+EG70</f>
        <v>8165014.9904545471</v>
      </c>
      <c r="EF71" s="580">
        <f t="shared" si="100"/>
        <v>192495.44181818186</v>
      </c>
      <c r="EG71" s="580">
        <f t="shared" si="69"/>
        <v>7972519.5486363657</v>
      </c>
      <c r="EH71" s="493">
        <f t="shared" si="91"/>
        <v>1089796.6952435533</v>
      </c>
      <c r="EI71" s="576">
        <f>+EK70</f>
        <v>329653.96814393939</v>
      </c>
      <c r="EJ71" s="580">
        <f t="shared" si="101"/>
        <v>7696.2015909090906</v>
      </c>
      <c r="EK71" s="580">
        <f t="shared" si="70"/>
        <v>321957.76655303029</v>
      </c>
      <c r="EL71" s="493">
        <f t="shared" si="92"/>
        <v>43932.313113204451</v>
      </c>
      <c r="EM71" s="576">
        <f>+EO70</f>
        <v>11234887.731136363</v>
      </c>
      <c r="EN71" s="580">
        <f t="shared" si="102"/>
        <v>261276.45886363636</v>
      </c>
      <c r="EO71" s="580">
        <f t="shared" si="71"/>
        <v>10973611.272272727</v>
      </c>
      <c r="EP71" s="493">
        <f t="shared" si="93"/>
        <v>1496348.3942968068</v>
      </c>
      <c r="EQ71" s="576">
        <f>+ES70</f>
        <v>21775230.257045452</v>
      </c>
      <c r="ER71" s="580">
        <f>+EQ31</f>
        <v>500580.00590909086</v>
      </c>
      <c r="ES71" s="580">
        <f t="shared" si="94"/>
        <v>21274650.251136363</v>
      </c>
      <c r="ET71" s="493">
        <f t="shared" ref="ET71:ET90" si="106">+EQ$29*ES71+ER71</f>
        <v>2895026.3562847637</v>
      </c>
      <c r="EU71" s="576">
        <f>+EW70</f>
        <v>28136481.882272732</v>
      </c>
      <c r="EV71" s="580">
        <f>+EU31</f>
        <v>646815.67545454553</v>
      </c>
      <c r="EW71" s="580">
        <f t="shared" si="95"/>
        <v>27489666.206818186</v>
      </c>
      <c r="EX71" s="493">
        <f t="shared" ref="EX71:EX90" si="107">+EU$29*EW71+EV71</f>
        <v>3740757.5332505591</v>
      </c>
      <c r="EY71" s="582">
        <f t="shared" si="103"/>
        <v>48075817.295390412</v>
      </c>
      <c r="EZ71" s="557"/>
      <c r="FA71" s="578">
        <f>+EY71</f>
        <v>48075817.295390412</v>
      </c>
      <c r="FD71" s="492">
        <f>+FF70</f>
        <v>2753210.6333333356</v>
      </c>
      <c r="FE71" s="476">
        <f t="shared" si="72"/>
        <v>1270712.6000000001</v>
      </c>
      <c r="FF71" s="476">
        <f t="shared" si="24"/>
        <v>1482498.0333333355</v>
      </c>
      <c r="FG71" s="493">
        <f t="shared" si="44"/>
        <v>1466601.1539640692</v>
      </c>
      <c r="FH71" s="492">
        <f>+FJ70</f>
        <v>2683213.1999999983</v>
      </c>
      <c r="FI71" s="476">
        <f t="shared" si="73"/>
        <v>894404.4</v>
      </c>
      <c r="FJ71" s="476">
        <f t="shared" si="25"/>
        <v>1788808.7999999984</v>
      </c>
      <c r="FK71" s="493">
        <f t="shared" si="45"/>
        <v>1130767.0536234421</v>
      </c>
      <c r="FL71" s="492">
        <f>+FN70</f>
        <v>409670.8904166664</v>
      </c>
      <c r="FM71" s="476">
        <f t="shared" si="74"/>
        <v>140458.59099999999</v>
      </c>
      <c r="FN71" s="476">
        <f t="shared" si="26"/>
        <v>269212.29941666638</v>
      </c>
      <c r="FO71" s="493">
        <f t="shared" si="46"/>
        <v>176030.71781321333</v>
      </c>
      <c r="FP71" s="492">
        <f>+FR70</f>
        <v>50880.900000000009</v>
      </c>
      <c r="FQ71" s="476">
        <f t="shared" si="75"/>
        <v>16960.3</v>
      </c>
      <c r="FR71" s="476">
        <f t="shared" si="27"/>
        <v>33920.600000000006</v>
      </c>
      <c r="FS71" s="493">
        <f t="shared" si="47"/>
        <v>21442.368194487492</v>
      </c>
      <c r="FT71" s="492">
        <f>+FV70</f>
        <v>3970.3223333333335</v>
      </c>
      <c r="FU71" s="476">
        <f t="shared" si="76"/>
        <v>1253.7860000000001</v>
      </c>
      <c r="FV71" s="476">
        <f t="shared" si="32"/>
        <v>2716.5363333333335</v>
      </c>
      <c r="FW71" s="493">
        <f t="shared" si="48"/>
        <v>1612.7331029051081</v>
      </c>
      <c r="FX71" s="492">
        <f>+FZ70</f>
        <v>13108094.934999995</v>
      </c>
      <c r="FY71" s="476">
        <f t="shared" si="77"/>
        <v>4033259.9799999995</v>
      </c>
      <c r="FZ71" s="476">
        <f t="shared" si="28"/>
        <v>9074834.9549999945</v>
      </c>
      <c r="GA71" s="493">
        <f t="shared" si="49"/>
        <v>5232355.1941774851</v>
      </c>
      <c r="GB71" s="492">
        <f>+GD70</f>
        <v>190107.80883333337</v>
      </c>
      <c r="GC71" s="476">
        <f t="shared" si="78"/>
        <v>53053.342000000004</v>
      </c>
      <c r="GD71" s="476">
        <f t="shared" si="29"/>
        <v>137054.46683333337</v>
      </c>
      <c r="GE71" s="493">
        <f t="shared" si="50"/>
        <v>71162.91160390219</v>
      </c>
      <c r="GF71" s="492">
        <f>+GH70</f>
        <v>-193165.65349999996</v>
      </c>
      <c r="GG71" s="476">
        <f t="shared" si="79"/>
        <v>-53906.693999999974</v>
      </c>
      <c r="GH71" s="476">
        <f t="shared" si="30"/>
        <v>-139258.9595</v>
      </c>
      <c r="GI71" s="493">
        <f t="shared" si="51"/>
        <v>-72307.552274098067</v>
      </c>
      <c r="GJ71" s="492">
        <f>+GL70</f>
        <v>12755503.878833339</v>
      </c>
      <c r="GK71" s="476">
        <f t="shared" si="80"/>
        <v>3327522.7509999997</v>
      </c>
      <c r="GL71" s="476">
        <f t="shared" si="31"/>
        <v>9427981.1278333385</v>
      </c>
      <c r="GM71" s="493">
        <f t="shared" si="52"/>
        <v>4573280.6194130033</v>
      </c>
      <c r="GN71" s="492">
        <f>+GP70</f>
        <v>194993.51774999994</v>
      </c>
      <c r="GO71" s="476">
        <f t="shared" si="81"/>
        <v>49785.578999999998</v>
      </c>
      <c r="GP71" s="476">
        <f t="shared" si="36"/>
        <v>145207.93874999994</v>
      </c>
      <c r="GQ71" s="493">
        <f t="shared" si="53"/>
        <v>68972.500335662189</v>
      </c>
      <c r="GR71" s="492">
        <f>+GT70</f>
        <v>790227.85949999979</v>
      </c>
      <c r="GS71" s="476">
        <f t="shared" si="82"/>
        <v>175606.19100000002</v>
      </c>
      <c r="GT71" s="476">
        <f t="shared" si="37"/>
        <v>614621.6684999998</v>
      </c>
      <c r="GU71" s="493">
        <f t="shared" si="54"/>
        <v>256818.67639314412</v>
      </c>
      <c r="GV71" s="492">
        <f>+GX70</f>
        <v>19970215.790416665</v>
      </c>
      <c r="GW71" s="476">
        <f t="shared" si="83"/>
        <v>3686809.0689999992</v>
      </c>
      <c r="GX71" s="476">
        <f t="shared" si="55"/>
        <v>16283406.721416667</v>
      </c>
      <c r="GY71" s="493">
        <f t="shared" si="56"/>
        <v>5838402.4772523735</v>
      </c>
      <c r="GZ71" s="492">
        <f>+HB70</f>
        <v>53520317.673333332</v>
      </c>
      <c r="HA71" s="476">
        <f t="shared" si="96"/>
        <v>8028047.6510000005</v>
      </c>
      <c r="HB71" s="476">
        <f t="shared" si="61"/>
        <v>45492270.022333331</v>
      </c>
      <c r="HC71" s="493">
        <f t="shared" si="66"/>
        <v>14039128.131950721</v>
      </c>
      <c r="HD71" s="576">
        <f>+HF70</f>
        <v>-376713.62500000006</v>
      </c>
      <c r="HE71" s="580">
        <f t="shared" si="97"/>
        <v>-53183.1</v>
      </c>
      <c r="HF71" s="580">
        <f t="shared" si="67"/>
        <v>-323530.52500000008</v>
      </c>
      <c r="HG71" s="918">
        <f t="shared" si="84"/>
        <v>-95932.517051831062</v>
      </c>
      <c r="HH71" s="576">
        <f>+HJ70</f>
        <v>951546.93333333347</v>
      </c>
      <c r="HI71" s="575">
        <f t="shared" si="98"/>
        <v>129756.4</v>
      </c>
      <c r="HJ71" s="575">
        <f t="shared" si="68"/>
        <v>821790.53333333344</v>
      </c>
      <c r="HK71" s="918">
        <f t="shared" si="85"/>
        <v>238342.95837409265</v>
      </c>
      <c r="HL71" s="576">
        <f>+HN70</f>
        <v>3557445.0916666668</v>
      </c>
      <c r="HM71" s="580">
        <f t="shared" si="104"/>
        <v>440096.3</v>
      </c>
      <c r="HN71" s="580">
        <f t="shared" si="86"/>
        <v>3117348.791666667</v>
      </c>
      <c r="HO71" s="918">
        <f t="shared" si="99"/>
        <v>852004.39921561489</v>
      </c>
      <c r="HP71" s="576">
        <f>+HR70</f>
        <v>907139.10916666663</v>
      </c>
      <c r="HQ71" s="580">
        <f>+HP31</f>
        <v>94657.993999999992</v>
      </c>
      <c r="HR71" s="580">
        <f t="shared" si="105"/>
        <v>812481.11516666668</v>
      </c>
      <c r="HS71" s="918">
        <f t="shared" ref="HS71:HS90" si="108">+HP$29*HR71+HQ71</f>
        <v>202014.4607166927</v>
      </c>
      <c r="HT71" s="576">
        <f>+HT30</f>
        <v>390195</v>
      </c>
      <c r="HU71" s="580">
        <f>+HT$31/12*(12-HT$32)</f>
        <v>13006.5</v>
      </c>
      <c r="HV71" s="580">
        <f>+HT71-HU71</f>
        <v>377188.5</v>
      </c>
      <c r="HW71" s="918">
        <f>+(((HT$28*HV71)*(12-HT$32)/12))+HU71</f>
        <v>29619.655223044854</v>
      </c>
      <c r="HX71" s="580"/>
      <c r="HY71" s="492"/>
      <c r="HZ71" s="476"/>
      <c r="IA71" s="476"/>
      <c r="IB71" s="493"/>
      <c r="IC71" s="492"/>
      <c r="ID71" s="476"/>
      <c r="IE71" s="476"/>
      <c r="IF71" s="493"/>
      <c r="IG71" s="492"/>
      <c r="IH71" s="476"/>
      <c r="II71" s="476"/>
      <c r="IJ71" s="493"/>
    </row>
    <row r="72" spans="1:244" ht="13">
      <c r="A72" s="554" t="s">
        <v>23</v>
      </c>
      <c r="B72" s="574">
        <f t="shared" si="0"/>
        <v>2022</v>
      </c>
      <c r="C72" s="575">
        <f>+C71</f>
        <v>13708103.510795452</v>
      </c>
      <c r="D72" s="575">
        <f>+D71</f>
        <v>445791.98409090913</v>
      </c>
      <c r="E72" s="575">
        <f t="shared" si="6"/>
        <v>13262311.526704542</v>
      </c>
      <c r="F72" s="558">
        <f>+C$29*E72+D72</f>
        <v>2024902.733362467</v>
      </c>
      <c r="G72" s="575">
        <f>+G71</f>
        <v>3533142.861136361</v>
      </c>
      <c r="H72" s="575">
        <f>+H71</f>
        <v>115840.74954545456</v>
      </c>
      <c r="I72" s="575">
        <f t="shared" si="7"/>
        <v>3417302.1115909065</v>
      </c>
      <c r="J72" s="558">
        <f>+G$29*I72+H72</f>
        <v>522730.49022571143</v>
      </c>
      <c r="K72" s="576">
        <f>+K71</f>
        <v>9086237.8938068114</v>
      </c>
      <c r="L72" s="575">
        <f>+L71</f>
        <v>305419.76113636367</v>
      </c>
      <c r="M72" s="575">
        <f t="shared" si="8"/>
        <v>8780818.1326704472</v>
      </c>
      <c r="N72" s="558">
        <f>+K$29*M72+L72</f>
        <v>1350930.1363660991</v>
      </c>
      <c r="O72" s="576">
        <f>+O71</f>
        <v>3798236.128787877</v>
      </c>
      <c r="P72" s="575">
        <f>+P71</f>
        <v>119316.31818181818</v>
      </c>
      <c r="Q72" s="575">
        <f t="shared" si="11"/>
        <v>3678919.8106060587</v>
      </c>
      <c r="R72" s="558">
        <f>+O$29*Q72+P72</f>
        <v>557356.23354185594</v>
      </c>
      <c r="S72" s="492">
        <f>+S71</f>
        <v>1759190.4478787859</v>
      </c>
      <c r="T72" s="476">
        <f>+T71</f>
        <v>58315.705454545445</v>
      </c>
      <c r="U72" s="476">
        <f t="shared" si="12"/>
        <v>1700874.7424242403</v>
      </c>
      <c r="V72" s="493">
        <f>+S$29*U72+T72</f>
        <v>260834.66932584599</v>
      </c>
      <c r="W72" s="492">
        <f>+W71</f>
        <v>22069846.700757578</v>
      </c>
      <c r="X72" s="476">
        <f>+X71</f>
        <v>693293.61363636365</v>
      </c>
      <c r="Y72" s="476">
        <f t="shared" si="13"/>
        <v>21376553.087121215</v>
      </c>
      <c r="Z72" s="493">
        <f>+W$29*Y72+X72</f>
        <v>3238547.1084194854</v>
      </c>
      <c r="AA72" s="492">
        <f>+AA71</f>
        <v>14389096.013257571</v>
      </c>
      <c r="AB72" s="476">
        <f>+AB71</f>
        <v>450833.29545454547</v>
      </c>
      <c r="AC72" s="476">
        <f t="shared" si="14"/>
        <v>13938262.717803026</v>
      </c>
      <c r="AD72" s="493">
        <f>+AA$29*AC72+AB72</f>
        <v>2110427.887206899</v>
      </c>
      <c r="AE72" s="492">
        <f>+AE71</f>
        <v>144833.42045454559</v>
      </c>
      <c r="AF72" s="476">
        <f>+AF71</f>
        <v>4597.886363636364</v>
      </c>
      <c r="AG72" s="476">
        <f t="shared" si="15"/>
        <v>140235.53409090923</v>
      </c>
      <c r="AH72" s="493">
        <f>+AE$29*AG72+AF72</f>
        <v>21295.385805335776</v>
      </c>
      <c r="AI72" s="492">
        <f>+AI71</f>
        <v>9703807.3446969707</v>
      </c>
      <c r="AJ72" s="476">
        <f>+AJ71</f>
        <v>295547.43181818182</v>
      </c>
      <c r="AK72" s="476">
        <f t="shared" si="19"/>
        <v>9408259.912878789</v>
      </c>
      <c r="AL72" s="493">
        <f>+AI$29*AK72+AJ72</f>
        <v>1415765.7535227104</v>
      </c>
      <c r="AM72" s="492">
        <f>+AM71</f>
        <v>3603174.7596590901</v>
      </c>
      <c r="AN72" s="476">
        <f>+AN71</f>
        <v>110866.91568181818</v>
      </c>
      <c r="AO72" s="476">
        <f t="shared" si="16"/>
        <v>3492307.843977272</v>
      </c>
      <c r="AP72" s="493">
        <f>+AM$29*AO72+AN72</f>
        <v>526687.40406995418</v>
      </c>
      <c r="AQ72" s="492">
        <f>+AQ71</f>
        <v>29636530.770681825</v>
      </c>
      <c r="AR72" s="476">
        <f>+AR71</f>
        <v>904932.23727272719</v>
      </c>
      <c r="AS72" s="476">
        <f t="shared" si="17"/>
        <v>28731598.533409096</v>
      </c>
      <c r="AT72" s="493">
        <f>+AQ$29*AS72+AR72</f>
        <v>4325932.8672537804</v>
      </c>
      <c r="AU72" s="576">
        <f>+AU71</f>
        <v>19375000</v>
      </c>
      <c r="AV72" s="575">
        <f>+AV71</f>
        <v>750000</v>
      </c>
      <c r="AW72" s="575">
        <f t="shared" si="1"/>
        <v>18625000</v>
      </c>
      <c r="AX72" s="558">
        <f>+AU$29*AW72+AV72</f>
        <v>750000</v>
      </c>
      <c r="AY72" s="576">
        <f>+AY71</f>
        <v>12583333.333333332</v>
      </c>
      <c r="AZ72" s="575">
        <f>+AZ71</f>
        <v>500000</v>
      </c>
      <c r="BA72" s="575">
        <f t="shared" si="2"/>
        <v>12083333.333333332</v>
      </c>
      <c r="BB72" s="558">
        <f>+AY$29*BA72+AZ72</f>
        <v>500000</v>
      </c>
      <c r="BC72" s="576">
        <f>+BC71</f>
        <v>19750000</v>
      </c>
      <c r="BD72" s="575">
        <f>+BD71</f>
        <v>750000</v>
      </c>
      <c r="BE72" s="575">
        <f t="shared" si="4"/>
        <v>19000000</v>
      </c>
      <c r="BF72" s="558">
        <f>+BC$29*BE72+BD72</f>
        <v>750000</v>
      </c>
      <c r="BG72" s="576">
        <f>+BG71</f>
        <v>12523809.52380953</v>
      </c>
      <c r="BH72" s="575">
        <f>+BH71</f>
        <v>571428.57142857148</v>
      </c>
      <c r="BI72" s="575">
        <f t="shared" si="5"/>
        <v>11952380.952380959</v>
      </c>
      <c r="BJ72" s="558">
        <f>+BG$29*BI72+BH72</f>
        <v>571428.57142857148</v>
      </c>
      <c r="BK72" s="576">
        <f>+BK71</f>
        <v>15200000</v>
      </c>
      <c r="BL72" s="575">
        <f>+BL71</f>
        <v>1200000</v>
      </c>
      <c r="BM72" s="575">
        <f t="shared" si="9"/>
        <v>14000000</v>
      </c>
      <c r="BN72" s="558">
        <f>+BK$29*BM72+BL72</f>
        <v>1200000</v>
      </c>
      <c r="BO72" s="576">
        <f>+BO71</f>
        <v>11833333.333333332</v>
      </c>
      <c r="BP72" s="575">
        <f>+BP71</f>
        <v>666666.66666666663</v>
      </c>
      <c r="BQ72" s="575">
        <f t="shared" si="10"/>
        <v>11166666.666666666</v>
      </c>
      <c r="BR72" s="558">
        <f>+BO$29*BQ72+BP72</f>
        <v>666666.66666666663</v>
      </c>
      <c r="BS72" s="492">
        <f>+BS71</f>
        <v>274259.25000000012</v>
      </c>
      <c r="BT72" s="476">
        <f>+BT71</f>
        <v>8310.886363636364</v>
      </c>
      <c r="BU72" s="476">
        <f t="shared" si="18"/>
        <v>265948.36363636376</v>
      </c>
      <c r="BV72" s="493">
        <f>+BS$29*BU72+BT72</f>
        <v>39976.702607188025</v>
      </c>
      <c r="BW72" s="492">
        <f>+BW71</f>
        <v>19324181.113636371</v>
      </c>
      <c r="BX72" s="476">
        <f>+BX71</f>
        <v>576841.22727272729</v>
      </c>
      <c r="BY72" s="476">
        <f t="shared" si="20"/>
        <v>18747339.886363644</v>
      </c>
      <c r="BZ72" s="493">
        <f>+BW$29*BY72+BX72</f>
        <v>2686840.6416113004</v>
      </c>
      <c r="CA72" s="492">
        <f>+CA71</f>
        <v>1828072.4800000009</v>
      </c>
      <c r="CB72" s="476">
        <f>+CB71</f>
        <v>54433.919999999998</v>
      </c>
      <c r="CC72" s="476">
        <f t="shared" si="21"/>
        <v>1773638.560000001</v>
      </c>
      <c r="CD72" s="493">
        <f>+CA$29*CC72+CB72</f>
        <v>265616.69230775262</v>
      </c>
      <c r="CE72" s="492">
        <f>+CE71</f>
        <v>157107.21727272734</v>
      </c>
      <c r="CF72" s="476">
        <f>+CF71</f>
        <v>4725.0290909090909</v>
      </c>
      <c r="CG72" s="476">
        <f t="shared" si="22"/>
        <v>152382.18818181826</v>
      </c>
      <c r="CH72" s="493">
        <f>+CE$29*CG72+CF72</f>
        <v>22868.800700474243</v>
      </c>
      <c r="CI72" s="492">
        <f>+CI71</f>
        <v>422393.18181818165</v>
      </c>
      <c r="CJ72" s="476">
        <f>+CJ71</f>
        <v>12362.727272727272</v>
      </c>
      <c r="CK72" s="476">
        <f t="shared" si="23"/>
        <v>410030.45454545435</v>
      </c>
      <c r="CL72" s="493">
        <f>+CI$29*CK72+CJ72</f>
        <v>58511.355515243253</v>
      </c>
      <c r="CM72" s="492">
        <f>+CM71</f>
        <v>18743051.39346591</v>
      </c>
      <c r="CN72" s="476">
        <f>+CN71</f>
        <v>483691.64886363636</v>
      </c>
      <c r="CO72" s="476">
        <f t="shared" si="33"/>
        <v>18259359.744602274</v>
      </c>
      <c r="CP72" s="493">
        <f>+CM$29*CO72+CN72</f>
        <v>2538769.2545847492</v>
      </c>
      <c r="CQ72" s="492">
        <f>+CQ71</f>
        <v>78187268.617329523</v>
      </c>
      <c r="CR72" s="476">
        <f>+CR71</f>
        <v>2017735.9643181816</v>
      </c>
      <c r="CS72" s="476">
        <f t="shared" si="38"/>
        <v>76169532.653011337</v>
      </c>
      <c r="CT72" s="493">
        <f>+CQ$29*CS72+CR72</f>
        <v>10590561.243130077</v>
      </c>
      <c r="CU72" s="492">
        <f>+CU71</f>
        <v>26371619.527500007</v>
      </c>
      <c r="CV72" s="476">
        <f>+CV71</f>
        <v>676195.37250000006</v>
      </c>
      <c r="CW72" s="476">
        <f t="shared" si="39"/>
        <v>25695424.155000009</v>
      </c>
      <c r="CX72" s="493">
        <f>+CU$29*CW72+CV72</f>
        <v>3568196.5975734093</v>
      </c>
      <c r="CY72" s="492">
        <f>+CY71</f>
        <v>28982.092613636414</v>
      </c>
      <c r="CZ72" s="476">
        <f>+CZ71</f>
        <v>733.72386363636497</v>
      </c>
      <c r="DA72" s="476">
        <f t="shared" si="40"/>
        <v>28248.368750000049</v>
      </c>
      <c r="DB72" s="493">
        <f>+CY$29*DA72+CZ72</f>
        <v>3913.0571386400725</v>
      </c>
      <c r="DC72" s="492">
        <f>+DC71</f>
        <v>1747828.9045454548</v>
      </c>
      <c r="DD72" s="476">
        <f>+DD71</f>
        <v>44530.672727272722</v>
      </c>
      <c r="DE72" s="476">
        <f t="shared" si="41"/>
        <v>1703298.2318181822</v>
      </c>
      <c r="DF72" s="493">
        <f>+DC$29*DE72+DD72</f>
        <v>236235.64491879143</v>
      </c>
      <c r="DG72" s="492">
        <f>+DG71</f>
        <v>973259.23556818161</v>
      </c>
      <c r="DH72" s="476">
        <f>+DH71</f>
        <v>24639.474318181816</v>
      </c>
      <c r="DI72" s="476">
        <f t="shared" si="42"/>
        <v>948619.76124999975</v>
      </c>
      <c r="DJ72" s="493">
        <f>+DG$29*DI72+DH72</f>
        <v>131405.93573617755</v>
      </c>
      <c r="DK72" s="492">
        <f>+DK71</f>
        <v>21528303.347159091</v>
      </c>
      <c r="DL72" s="476">
        <f>+DL71</f>
        <v>549658.80886363634</v>
      </c>
      <c r="DM72" s="476">
        <f t="shared" si="43"/>
        <v>20978644.538295455</v>
      </c>
      <c r="DN72" s="493">
        <f>+DK$29*DM72+DL72</f>
        <v>2910789.9324113429</v>
      </c>
      <c r="DO72" s="492">
        <f>+DO71</f>
        <v>786973.60518939351</v>
      </c>
      <c r="DP72" s="476">
        <f t="shared" si="87"/>
        <v>19592.703863636354</v>
      </c>
      <c r="DQ72" s="476">
        <f t="shared" si="57"/>
        <v>767380.90132575715</v>
      </c>
      <c r="DR72" s="493">
        <f t="shared" si="62"/>
        <v>105960.86394322722</v>
      </c>
      <c r="DS72" s="492">
        <f>+DS71</f>
        <v>335977.98545454425</v>
      </c>
      <c r="DT72" s="476">
        <f t="shared" si="88"/>
        <v>8295.7527272726966</v>
      </c>
      <c r="DU72" s="476">
        <f t="shared" si="58"/>
        <v>327682.23272727156</v>
      </c>
      <c r="DV72" s="493">
        <f t="shared" si="63"/>
        <v>45176.148737301468</v>
      </c>
      <c r="DW72" s="492">
        <f>+DW71</f>
        <v>49175.977215909079</v>
      </c>
      <c r="DX72" s="476">
        <f t="shared" si="89"/>
        <v>1221.7634090909089</v>
      </c>
      <c r="DY72" s="476">
        <f t="shared" si="59"/>
        <v>47954.213806818167</v>
      </c>
      <c r="DZ72" s="493">
        <f t="shared" si="64"/>
        <v>6618.9751554385257</v>
      </c>
      <c r="EA72" s="492">
        <f>+EA71</f>
        <v>-291339.00676136551</v>
      </c>
      <c r="EB72" s="476">
        <f t="shared" si="90"/>
        <v>-7120.3015909091364</v>
      </c>
      <c r="EC72" s="476">
        <f t="shared" si="60"/>
        <v>-284218.70517045638</v>
      </c>
      <c r="ED72" s="493">
        <f t="shared" si="65"/>
        <v>-39108.909312793912</v>
      </c>
      <c r="EE72" s="576">
        <f>+EE71</f>
        <v>8165014.9904545471</v>
      </c>
      <c r="EF72" s="580">
        <f t="shared" si="100"/>
        <v>192495.44181818186</v>
      </c>
      <c r="EG72" s="580">
        <f t="shared" si="69"/>
        <v>7972519.5486363657</v>
      </c>
      <c r="EH72" s="493">
        <f t="shared" si="91"/>
        <v>1089796.6952435533</v>
      </c>
      <c r="EI72" s="576">
        <f>+EI71</f>
        <v>329653.96814393939</v>
      </c>
      <c r="EJ72" s="580">
        <f t="shared" si="101"/>
        <v>7696.2015909090906</v>
      </c>
      <c r="EK72" s="580">
        <f t="shared" si="70"/>
        <v>321957.76655303029</v>
      </c>
      <c r="EL72" s="493">
        <f t="shared" si="92"/>
        <v>43932.313113204451</v>
      </c>
      <c r="EM72" s="576">
        <f>+EM71</f>
        <v>11234887.731136363</v>
      </c>
      <c r="EN72" s="580">
        <f t="shared" si="102"/>
        <v>261276.45886363636</v>
      </c>
      <c r="EO72" s="580">
        <f t="shared" si="71"/>
        <v>10973611.272272727</v>
      </c>
      <c r="EP72" s="493">
        <f t="shared" si="93"/>
        <v>1496348.3942968068</v>
      </c>
      <c r="EQ72" s="576">
        <f>+EQ71</f>
        <v>21775230.257045452</v>
      </c>
      <c r="ER72" s="580">
        <f t="shared" ref="ER72:ER78" si="109">+ER71</f>
        <v>500580.00590909086</v>
      </c>
      <c r="ES72" s="580">
        <f t="shared" si="94"/>
        <v>21274650.251136363</v>
      </c>
      <c r="ET72" s="493">
        <f t="shared" si="106"/>
        <v>2895026.3562847637</v>
      </c>
      <c r="EU72" s="576">
        <f>+EU71</f>
        <v>28136481.882272732</v>
      </c>
      <c r="EV72" s="580">
        <f t="shared" ref="EV72:EV78" si="110">+EV71</f>
        <v>646815.67545454553</v>
      </c>
      <c r="EW72" s="580">
        <f t="shared" si="95"/>
        <v>27489666.206818186</v>
      </c>
      <c r="EX72" s="493">
        <f t="shared" si="107"/>
        <v>3740757.5332505591</v>
      </c>
      <c r="EY72" s="582">
        <f t="shared" si="103"/>
        <v>48793604.898047343</v>
      </c>
      <c r="EZ72" s="579">
        <f>+EY72</f>
        <v>48793604.898047343</v>
      </c>
      <c r="FA72" s="553"/>
      <c r="FB72" s="758">
        <f>+EZ72-FA71</f>
        <v>717787.60265693069</v>
      </c>
      <c r="FC72" s="473">
        <v>2022</v>
      </c>
      <c r="FD72" s="492">
        <f>+FD71</f>
        <v>2753210.6333333356</v>
      </c>
      <c r="FE72" s="476">
        <f t="shared" si="72"/>
        <v>1270712.6000000001</v>
      </c>
      <c r="FF72" s="476">
        <f t="shared" si="24"/>
        <v>1482498.0333333355</v>
      </c>
      <c r="FG72" s="493">
        <f t="shared" si="44"/>
        <v>1466601.1539640692</v>
      </c>
      <c r="FH72" s="492">
        <f>+FH71</f>
        <v>2683213.1999999983</v>
      </c>
      <c r="FI72" s="476">
        <f t="shared" si="73"/>
        <v>894404.4</v>
      </c>
      <c r="FJ72" s="476">
        <f t="shared" si="25"/>
        <v>1788808.7999999984</v>
      </c>
      <c r="FK72" s="493">
        <f t="shared" si="45"/>
        <v>1130767.0536234421</v>
      </c>
      <c r="FL72" s="492">
        <f>+FL71</f>
        <v>409670.8904166664</v>
      </c>
      <c r="FM72" s="476">
        <f t="shared" si="74"/>
        <v>140458.59099999999</v>
      </c>
      <c r="FN72" s="476">
        <f t="shared" si="26"/>
        <v>269212.29941666638</v>
      </c>
      <c r="FO72" s="493">
        <f t="shared" si="46"/>
        <v>176030.71781321333</v>
      </c>
      <c r="FP72" s="492">
        <f>+FP71</f>
        <v>50880.900000000009</v>
      </c>
      <c r="FQ72" s="476">
        <f t="shared" si="75"/>
        <v>16960.3</v>
      </c>
      <c r="FR72" s="476">
        <f t="shared" si="27"/>
        <v>33920.600000000006</v>
      </c>
      <c r="FS72" s="493">
        <f t="shared" si="47"/>
        <v>21442.368194487492</v>
      </c>
      <c r="FT72" s="492">
        <f>+FT71</f>
        <v>3970.3223333333335</v>
      </c>
      <c r="FU72" s="476">
        <f t="shared" si="76"/>
        <v>1253.7860000000001</v>
      </c>
      <c r="FV72" s="476">
        <f t="shared" si="32"/>
        <v>2716.5363333333335</v>
      </c>
      <c r="FW72" s="493">
        <f t="shared" si="48"/>
        <v>1612.7331029051081</v>
      </c>
      <c r="FX72" s="492">
        <f>+FX71</f>
        <v>13108094.934999995</v>
      </c>
      <c r="FY72" s="476">
        <f t="shared" si="77"/>
        <v>4033259.9799999995</v>
      </c>
      <c r="FZ72" s="476">
        <f t="shared" si="28"/>
        <v>9074834.9549999945</v>
      </c>
      <c r="GA72" s="493">
        <f t="shared" si="49"/>
        <v>5232355.1941774851</v>
      </c>
      <c r="GB72" s="492">
        <f>+GB71</f>
        <v>190107.80883333337</v>
      </c>
      <c r="GC72" s="476">
        <f t="shared" si="78"/>
        <v>53053.342000000004</v>
      </c>
      <c r="GD72" s="476">
        <f t="shared" si="29"/>
        <v>137054.46683333337</v>
      </c>
      <c r="GE72" s="493">
        <f t="shared" si="50"/>
        <v>71162.91160390219</v>
      </c>
      <c r="GF72" s="492">
        <f>+GF71</f>
        <v>-193165.65349999996</v>
      </c>
      <c r="GG72" s="476">
        <f t="shared" si="79"/>
        <v>-53906.693999999974</v>
      </c>
      <c r="GH72" s="476">
        <f t="shared" si="30"/>
        <v>-139258.9595</v>
      </c>
      <c r="GI72" s="493">
        <f t="shared" si="51"/>
        <v>-72307.552274098067</v>
      </c>
      <c r="GJ72" s="492">
        <f>+GJ71</f>
        <v>12755503.878833339</v>
      </c>
      <c r="GK72" s="476">
        <f t="shared" si="80"/>
        <v>3327522.7509999997</v>
      </c>
      <c r="GL72" s="476">
        <f t="shared" si="31"/>
        <v>9427981.1278333385</v>
      </c>
      <c r="GM72" s="493">
        <f t="shared" si="52"/>
        <v>4573280.6194130033</v>
      </c>
      <c r="GN72" s="492">
        <f>+GN71</f>
        <v>194993.51774999994</v>
      </c>
      <c r="GO72" s="476">
        <f t="shared" si="81"/>
        <v>49785.578999999998</v>
      </c>
      <c r="GP72" s="476">
        <f t="shared" si="36"/>
        <v>145207.93874999994</v>
      </c>
      <c r="GQ72" s="493">
        <f t="shared" si="53"/>
        <v>68972.500335662189</v>
      </c>
      <c r="GR72" s="492">
        <f>+GR71</f>
        <v>790227.85949999979</v>
      </c>
      <c r="GS72" s="476">
        <f t="shared" si="82"/>
        <v>175606.19100000002</v>
      </c>
      <c r="GT72" s="476">
        <f t="shared" si="37"/>
        <v>614621.6684999998</v>
      </c>
      <c r="GU72" s="493">
        <f t="shared" si="54"/>
        <v>256818.67639314412</v>
      </c>
      <c r="GV72" s="492">
        <f>+GV71</f>
        <v>19970215.790416665</v>
      </c>
      <c r="GW72" s="476">
        <f t="shared" si="83"/>
        <v>3686809.0689999992</v>
      </c>
      <c r="GX72" s="476">
        <f t="shared" si="55"/>
        <v>16283406.721416667</v>
      </c>
      <c r="GY72" s="493">
        <f t="shared" si="56"/>
        <v>5838402.4772523735</v>
      </c>
      <c r="GZ72" s="492">
        <f>+GZ71</f>
        <v>53520317.673333332</v>
      </c>
      <c r="HA72" s="476">
        <f t="shared" si="96"/>
        <v>8028047.6510000005</v>
      </c>
      <c r="HB72" s="476">
        <f t="shared" si="61"/>
        <v>45492270.022333331</v>
      </c>
      <c r="HC72" s="493">
        <f t="shared" si="66"/>
        <v>14039128.131950721</v>
      </c>
      <c r="HD72" s="576">
        <f>+HD71</f>
        <v>-376713.62500000006</v>
      </c>
      <c r="HE72" s="580">
        <f t="shared" si="97"/>
        <v>-53183.1</v>
      </c>
      <c r="HF72" s="580">
        <f t="shared" si="67"/>
        <v>-323530.52500000008</v>
      </c>
      <c r="HG72" s="918">
        <f t="shared" si="84"/>
        <v>-95932.517051831062</v>
      </c>
      <c r="HH72" s="576">
        <f>+HH71</f>
        <v>951546.93333333347</v>
      </c>
      <c r="HI72" s="575">
        <f t="shared" si="98"/>
        <v>129756.4</v>
      </c>
      <c r="HJ72" s="575">
        <f t="shared" si="68"/>
        <v>821790.53333333344</v>
      </c>
      <c r="HK72" s="918">
        <f t="shared" si="85"/>
        <v>238342.95837409265</v>
      </c>
      <c r="HL72" s="576">
        <f>+HL71</f>
        <v>3557445.0916666668</v>
      </c>
      <c r="HM72" s="580">
        <f t="shared" si="104"/>
        <v>440096.3</v>
      </c>
      <c r="HN72" s="580">
        <f t="shared" si="86"/>
        <v>3117348.791666667</v>
      </c>
      <c r="HO72" s="918">
        <f t="shared" si="99"/>
        <v>852004.39921561489</v>
      </c>
      <c r="HP72" s="576">
        <f>+HP71</f>
        <v>907139.10916666663</v>
      </c>
      <c r="HQ72" s="580">
        <f t="shared" ref="HQ72:HQ78" si="111">+HQ71</f>
        <v>94657.993999999992</v>
      </c>
      <c r="HR72" s="580">
        <f t="shared" si="105"/>
        <v>812481.11516666668</v>
      </c>
      <c r="HS72" s="918">
        <f t="shared" si="108"/>
        <v>202014.4607166927</v>
      </c>
      <c r="HT72" s="576">
        <f>+HT71</f>
        <v>390195</v>
      </c>
      <c r="HU72" s="580">
        <f>+HU71</f>
        <v>13006.5</v>
      </c>
      <c r="HV72" s="580">
        <f t="shared" ref="HV72:HV74" si="112">+HT72-HU72</f>
        <v>377188.5</v>
      </c>
      <c r="HW72" s="918">
        <f>+(((HT$29*HV72)*(12-HT$32)/12))+HU72</f>
        <v>29619.655223044854</v>
      </c>
      <c r="HY72" s="492"/>
      <c r="HZ72" s="476"/>
      <c r="IA72" s="476"/>
      <c r="IB72" s="493"/>
      <c r="IC72" s="492"/>
      <c r="ID72" s="476"/>
      <c r="IE72" s="476"/>
      <c r="IF72" s="493"/>
      <c r="IG72" s="492"/>
      <c r="IH72" s="476"/>
      <c r="II72" s="476"/>
      <c r="IJ72" s="493"/>
    </row>
    <row r="73" spans="1:244">
      <c r="A73" s="554" t="s">
        <v>24</v>
      </c>
      <c r="B73" s="574">
        <v>2023</v>
      </c>
      <c r="C73" s="575">
        <f>+E72</f>
        <v>13262311.526704542</v>
      </c>
      <c r="D73" s="575">
        <f>+C$31</f>
        <v>445791.98409090913</v>
      </c>
      <c r="E73" s="575">
        <f t="shared" si="6"/>
        <v>12816519.542613633</v>
      </c>
      <c r="F73" s="558">
        <f>+C$28*E73+D73</f>
        <v>1888281.89960388</v>
      </c>
      <c r="G73" s="575">
        <f>+I72</f>
        <v>3417302.1115909065</v>
      </c>
      <c r="H73" s="575">
        <f>+G$31</f>
        <v>115840.74954545456</v>
      </c>
      <c r="I73" s="575">
        <f t="shared" si="7"/>
        <v>3301461.362045452</v>
      </c>
      <c r="J73" s="558">
        <f>+G$28*I73+H73</f>
        <v>487417.81501724926</v>
      </c>
      <c r="K73" s="576">
        <f>+M72</f>
        <v>8780818.1326704472</v>
      </c>
      <c r="L73" s="575">
        <f>+K$31</f>
        <v>305419.76113636367</v>
      </c>
      <c r="M73" s="575">
        <f t="shared" si="8"/>
        <v>8475398.371534083</v>
      </c>
      <c r="N73" s="558">
        <f>+K$28*M73+L73</f>
        <v>1259319.6588616259</v>
      </c>
      <c r="O73" s="576">
        <f>+Q72</f>
        <v>3678919.8106060587</v>
      </c>
      <c r="P73" s="575">
        <f>+O$31</f>
        <v>119316.31818181818</v>
      </c>
      <c r="Q73" s="575">
        <f t="shared" si="11"/>
        <v>3559603.4924242403</v>
      </c>
      <c r="R73" s="558">
        <f>+O$28*Q73+P73</f>
        <v>519947.09192459489</v>
      </c>
      <c r="S73" s="492">
        <f>+U72</f>
        <v>1700874.7424242403</v>
      </c>
      <c r="T73" s="476">
        <f>+S$31</f>
        <v>58315.705454545445</v>
      </c>
      <c r="U73" s="476">
        <f t="shared" si="12"/>
        <v>1642559.0369696948</v>
      </c>
      <c r="V73" s="493">
        <f>+S$28*U73+T73</f>
        <v>243184.52561945448</v>
      </c>
      <c r="W73" s="492">
        <f>+Y72</f>
        <v>21376553.087121215</v>
      </c>
      <c r="X73" s="476">
        <f>+W$31</f>
        <v>693293.61363636365</v>
      </c>
      <c r="Y73" s="476">
        <f t="shared" si="13"/>
        <v>20683259.473484851</v>
      </c>
      <c r="Z73" s="493">
        <f>+W$28*Y73+X73</f>
        <v>3021179.3638386982</v>
      </c>
      <c r="AA73" s="492">
        <f>+AC72</f>
        <v>13938262.717803026</v>
      </c>
      <c r="AB73" s="476">
        <f>+AA$31</f>
        <v>450833.29545454547</v>
      </c>
      <c r="AC73" s="476">
        <f t="shared" si="14"/>
        <v>13487429.422348481</v>
      </c>
      <c r="AD73" s="493">
        <f>+AA$28*AC73+AB73</f>
        <v>1968833.628013093</v>
      </c>
      <c r="AE73" s="492">
        <f>+AG72</f>
        <v>140235.53409090923</v>
      </c>
      <c r="AF73" s="476">
        <f>+AE$31</f>
        <v>4597.886363636364</v>
      </c>
      <c r="AG73" s="476">
        <f t="shared" si="15"/>
        <v>135637.64772727288</v>
      </c>
      <c r="AH73" s="493">
        <f>+AE$28*AG73+AF73</f>
        <v>19863.804568649492</v>
      </c>
      <c r="AI73" s="492">
        <f>+AK72</f>
        <v>9408259.912878789</v>
      </c>
      <c r="AJ73" s="476">
        <f>+AI$31</f>
        <v>295547.43181818182</v>
      </c>
      <c r="AK73" s="476">
        <f t="shared" si="19"/>
        <v>9112712.4810606074</v>
      </c>
      <c r="AL73" s="493">
        <f>+AI$28*AK73+AJ73</f>
        <v>1321176.5671847162</v>
      </c>
      <c r="AM73" s="492">
        <f>+AO72</f>
        <v>3492307.843977272</v>
      </c>
      <c r="AN73" s="476">
        <f>+AM$31</f>
        <v>110866.91568181818</v>
      </c>
      <c r="AO73" s="476">
        <f t="shared" si="16"/>
        <v>3381440.928295454</v>
      </c>
      <c r="AP73" s="493">
        <f>+AM$28*AO73+AN73</f>
        <v>491445.62293156493</v>
      </c>
      <c r="AQ73" s="492">
        <f>+AS72</f>
        <v>28731598.533409096</v>
      </c>
      <c r="AR73" s="476">
        <f>+AQ$31</f>
        <v>904932.23727272719</v>
      </c>
      <c r="AS73" s="476">
        <f t="shared" si="17"/>
        <v>27826666.296136368</v>
      </c>
      <c r="AT73" s="493">
        <f>+AQ$28*AS73+AR73</f>
        <v>4036803.2090338976</v>
      </c>
      <c r="AU73" s="576">
        <f>+AW72</f>
        <v>18625000</v>
      </c>
      <c r="AV73" s="575">
        <f>+AU$31</f>
        <v>750000</v>
      </c>
      <c r="AW73" s="575">
        <f t="shared" si="1"/>
        <v>17875000</v>
      </c>
      <c r="AX73" s="558">
        <f>+AU$28*AW73+AV73</f>
        <v>750000</v>
      </c>
      <c r="AY73" s="576">
        <f>+BA72</f>
        <v>12083333.333333332</v>
      </c>
      <c r="AZ73" s="575">
        <f>+AY$31</f>
        <v>500000</v>
      </c>
      <c r="BA73" s="575">
        <f t="shared" si="2"/>
        <v>11583333.333333332</v>
      </c>
      <c r="BB73" s="558">
        <f>+AY$28*BA73+AZ73</f>
        <v>500000</v>
      </c>
      <c r="BC73" s="576">
        <f>+BE72</f>
        <v>19000000</v>
      </c>
      <c r="BD73" s="575">
        <f>+BC$31</f>
        <v>750000</v>
      </c>
      <c r="BE73" s="575">
        <f t="shared" si="4"/>
        <v>18250000</v>
      </c>
      <c r="BF73" s="558">
        <f>+BC$28*BE73+BD73</f>
        <v>750000</v>
      </c>
      <c r="BG73" s="576">
        <f>+BI72</f>
        <v>11952380.952380959</v>
      </c>
      <c r="BH73" s="575">
        <f>+BG$31</f>
        <v>571428.57142857148</v>
      </c>
      <c r="BI73" s="575">
        <f t="shared" si="5"/>
        <v>11380952.380952388</v>
      </c>
      <c r="BJ73" s="558">
        <f>+BG$28*BI73+BH73</f>
        <v>571428.57142857148</v>
      </c>
      <c r="BK73" s="576">
        <f>+BM72</f>
        <v>14000000</v>
      </c>
      <c r="BL73" s="575">
        <f>+BK$31</f>
        <v>1200000</v>
      </c>
      <c r="BM73" s="575">
        <f t="shared" si="9"/>
        <v>12800000</v>
      </c>
      <c r="BN73" s="558">
        <f>+BK$28*BM73+BL73</f>
        <v>1200000</v>
      </c>
      <c r="BO73" s="576">
        <f>+BQ72</f>
        <v>11166666.666666666</v>
      </c>
      <c r="BP73" s="575">
        <f>+BO$31</f>
        <v>666666.66666666663</v>
      </c>
      <c r="BQ73" s="575">
        <f t="shared" si="10"/>
        <v>10500000</v>
      </c>
      <c r="BR73" s="558">
        <f>+BO$28*BQ73+BP73</f>
        <v>666666.66666666663</v>
      </c>
      <c r="BS73" s="492">
        <f>+BU72</f>
        <v>265948.36363636376</v>
      </c>
      <c r="BT73" s="476">
        <f>+BS$31</f>
        <v>8310.886363636364</v>
      </c>
      <c r="BU73" s="476">
        <f t="shared" si="18"/>
        <v>257637.47727272741</v>
      </c>
      <c r="BV73" s="493">
        <f>+BS$28*BU73+BT73</f>
        <v>37307.796296044136</v>
      </c>
      <c r="BW73" s="492">
        <f>+BY72</f>
        <v>18747339.886363644</v>
      </c>
      <c r="BX73" s="476">
        <f>+BW$31</f>
        <v>576841.22727272729</v>
      </c>
      <c r="BY73" s="476">
        <f t="shared" si="20"/>
        <v>18170498.659090918</v>
      </c>
      <c r="BZ73" s="493">
        <f>+BW$28*BY73+BX73</f>
        <v>2621917.5827085753</v>
      </c>
      <c r="CA73" s="492">
        <f>+CC72</f>
        <v>1773638.560000001</v>
      </c>
      <c r="CB73" s="476">
        <f>+CA$31</f>
        <v>54433.919999999998</v>
      </c>
      <c r="CC73" s="476">
        <f t="shared" si="21"/>
        <v>1719204.6400000011</v>
      </c>
      <c r="CD73" s="493">
        <f>+CA$28*CC73+CB73</f>
        <v>247929.14681704459</v>
      </c>
      <c r="CE73" s="492">
        <f>+CG72</f>
        <v>152382.18818181826</v>
      </c>
      <c r="CF73" s="476">
        <f>+CE$31</f>
        <v>4725.0290909090909</v>
      </c>
      <c r="CG73" s="476">
        <f t="shared" si="22"/>
        <v>147657.15909090918</v>
      </c>
      <c r="CH73" s="493">
        <f>+CE$28*CG73+CF73</f>
        <v>21343.734522890642</v>
      </c>
      <c r="CI73" s="492">
        <f>+CK72</f>
        <v>410030.45454545435</v>
      </c>
      <c r="CJ73" s="476">
        <f>+CI$31</f>
        <v>12362.727272727272</v>
      </c>
      <c r="CK73" s="476">
        <f t="shared" si="23"/>
        <v>397667.72727272706</v>
      </c>
      <c r="CL73" s="493">
        <f>+CI$28*CK73+CJ73</f>
        <v>57119.939588333225</v>
      </c>
      <c r="CM73" s="492">
        <f>+CO72</f>
        <v>18259359.744602274</v>
      </c>
      <c r="CN73" s="476">
        <f>+CM$31</f>
        <v>483691.64886363636</v>
      </c>
      <c r="CO73" s="476">
        <f t="shared" si="33"/>
        <v>17775668.095738638</v>
      </c>
      <c r="CP73" s="493">
        <f>+CM$28*CO73+CN73</f>
        <v>2484330.1127113421</v>
      </c>
      <c r="CQ73" s="492">
        <f>+CS72</f>
        <v>76169532.653011337</v>
      </c>
      <c r="CR73" s="476">
        <f>+CQ$31</f>
        <v>2017735.9643181816</v>
      </c>
      <c r="CS73" s="476">
        <f t="shared" si="38"/>
        <v>74151796.688693151</v>
      </c>
      <c r="CT73" s="493">
        <f>+CQ$28*CS73+CR73</f>
        <v>10363466.533757575</v>
      </c>
      <c r="CU73" s="492">
        <f>+CW72</f>
        <v>25695424.155000009</v>
      </c>
      <c r="CV73" s="476">
        <f>+CU$31</f>
        <v>676195.37250000006</v>
      </c>
      <c r="CW73" s="476">
        <f t="shared" si="39"/>
        <v>25019228.78250001</v>
      </c>
      <c r="CX73" s="493">
        <f>+CU$28*CW73+CV73</f>
        <v>3492091.3021767405</v>
      </c>
      <c r="CY73" s="492">
        <f>+DA72</f>
        <v>28248.368750000049</v>
      </c>
      <c r="CZ73" s="476">
        <f>+CY$31</f>
        <v>733.72386363636497</v>
      </c>
      <c r="DA73" s="476">
        <f t="shared" si="40"/>
        <v>27514.644886363683</v>
      </c>
      <c r="DB73" s="493">
        <f>+CY$28*DA73+CZ73</f>
        <v>3830.4770535750408</v>
      </c>
      <c r="DC73" s="492">
        <f>+DE72</f>
        <v>1703298.2318181822</v>
      </c>
      <c r="DD73" s="476">
        <f>+DC$31</f>
        <v>44530.672727272722</v>
      </c>
      <c r="DE73" s="476">
        <f t="shared" si="41"/>
        <v>1658767.5590909095</v>
      </c>
      <c r="DF73" s="493">
        <f>+DC$28*DE73+DD73</f>
        <v>231223.75022097395</v>
      </c>
      <c r="DG73" s="492">
        <f>+DI72</f>
        <v>948619.76124999975</v>
      </c>
      <c r="DH73" s="476">
        <f>+DG$31</f>
        <v>24639.474318181816</v>
      </c>
      <c r="DI73" s="476">
        <f t="shared" si="42"/>
        <v>923980.28693181789</v>
      </c>
      <c r="DJ73" s="493">
        <f>+DG$28*DI73+DH73</f>
        <v>128632.78089415169</v>
      </c>
      <c r="DK73" s="492">
        <f>+DM72</f>
        <v>20978644.538295455</v>
      </c>
      <c r="DL73" s="476">
        <f>+DK$31</f>
        <v>549658.80886363634</v>
      </c>
      <c r="DM73" s="476">
        <f t="shared" si="43"/>
        <v>20428985.729431819</v>
      </c>
      <c r="DN73" s="493">
        <f>+DK$28*DM73+DL73</f>
        <v>2848926.2348511405</v>
      </c>
      <c r="DO73" s="492">
        <f>+DQ72</f>
        <v>767380.90132575715</v>
      </c>
      <c r="DP73" s="476">
        <f t="shared" si="87"/>
        <v>19592.703863636354</v>
      </c>
      <c r="DQ73" s="476">
        <f t="shared" si="57"/>
        <v>747788.19746212079</v>
      </c>
      <c r="DR73" s="493">
        <f t="shared" si="62"/>
        <v>103755.71943055681</v>
      </c>
      <c r="DS73" s="492">
        <f>+DU72</f>
        <v>327682.23272727156</v>
      </c>
      <c r="DT73" s="476">
        <f t="shared" si="88"/>
        <v>8295.7527272726966</v>
      </c>
      <c r="DU73" s="476">
        <f t="shared" si="58"/>
        <v>319386.47999999888</v>
      </c>
      <c r="DV73" s="493">
        <f t="shared" si="63"/>
        <v>44242.467825655171</v>
      </c>
      <c r="DW73" s="492">
        <f>+DY72</f>
        <v>47954.213806818167</v>
      </c>
      <c r="DX73" s="476">
        <f t="shared" si="89"/>
        <v>1221.7634090909089</v>
      </c>
      <c r="DY73" s="476">
        <f t="shared" si="59"/>
        <v>46732.450397727254</v>
      </c>
      <c r="DZ73" s="493">
        <f t="shared" si="64"/>
        <v>6481.4665759137451</v>
      </c>
      <c r="EA73" s="492">
        <f>+EC72</f>
        <v>-284218.70517045638</v>
      </c>
      <c r="EB73" s="476">
        <f t="shared" si="90"/>
        <v>-7120.3015909091364</v>
      </c>
      <c r="EC73" s="476">
        <f t="shared" si="60"/>
        <v>-277098.40357954724</v>
      </c>
      <c r="ED73" s="493">
        <f t="shared" si="65"/>
        <v>-38307.524568195549</v>
      </c>
      <c r="EE73" s="576">
        <f>+EG72</f>
        <v>7972519.5486363657</v>
      </c>
      <c r="EF73" s="580">
        <f t="shared" si="100"/>
        <v>192495.44181818186</v>
      </c>
      <c r="EG73" s="580">
        <f t="shared" si="69"/>
        <v>7780024.1068181843</v>
      </c>
      <c r="EH73" s="493">
        <f t="shared" si="91"/>
        <v>1068131.4738328804</v>
      </c>
      <c r="EI73" s="576">
        <f>+EK72</f>
        <v>321957.76655303029</v>
      </c>
      <c r="EJ73" s="580">
        <f t="shared" si="101"/>
        <v>7696.2015909090906</v>
      </c>
      <c r="EK73" s="580">
        <f t="shared" si="70"/>
        <v>314261.56496212119</v>
      </c>
      <c r="EL73" s="493">
        <f t="shared" si="92"/>
        <v>43066.111244145592</v>
      </c>
      <c r="EM73" s="576">
        <f>+EO72</f>
        <v>10973611.272272727</v>
      </c>
      <c r="EN73" s="580">
        <f t="shared" si="102"/>
        <v>261276.45886363636</v>
      </c>
      <c r="EO73" s="580">
        <f t="shared" si="71"/>
        <v>10712334.81340909</v>
      </c>
      <c r="EP73" s="493">
        <f t="shared" si="93"/>
        <v>1466941.9196436359</v>
      </c>
      <c r="EQ73" s="576">
        <f>+ES72</f>
        <v>21274650.251136363</v>
      </c>
      <c r="ER73" s="580">
        <f t="shared" si="109"/>
        <v>500580.00590909086</v>
      </c>
      <c r="ES73" s="580">
        <f t="shared" si="94"/>
        <v>20774070.24522727</v>
      </c>
      <c r="ET73" s="493">
        <f t="shared" si="106"/>
        <v>2838686.4421582767</v>
      </c>
      <c r="EU73" s="576">
        <f>+EW72</f>
        <v>27489666.206818186</v>
      </c>
      <c r="EV73" s="580">
        <f t="shared" si="110"/>
        <v>646815.67545454553</v>
      </c>
      <c r="EW73" s="580">
        <f t="shared" si="95"/>
        <v>26842850.53136364</v>
      </c>
      <c r="EX73" s="493">
        <f t="shared" si="107"/>
        <v>3667958.9013024177</v>
      </c>
      <c r="EY73" s="582">
        <f t="shared" si="103"/>
        <v>46996529.5556411</v>
      </c>
      <c r="EZ73" s="557"/>
      <c r="FA73" s="578">
        <f>+EY73</f>
        <v>46996529.5556411</v>
      </c>
      <c r="FB73" s="581"/>
      <c r="FD73" s="492">
        <f>+FF72</f>
        <v>1482498.0333333355</v>
      </c>
      <c r="FE73" s="476">
        <f t="shared" si="72"/>
        <v>1270712.6000000001</v>
      </c>
      <c r="FF73" s="476">
        <f t="shared" si="24"/>
        <v>211785.43333333544</v>
      </c>
      <c r="FG73" s="493">
        <f t="shared" si="44"/>
        <v>1298696.6791377245</v>
      </c>
      <c r="FH73" s="492">
        <f>+FJ72</f>
        <v>1788808.7999999984</v>
      </c>
      <c r="FI73" s="476">
        <f t="shared" si="73"/>
        <v>894404.4</v>
      </c>
      <c r="FJ73" s="476">
        <f t="shared" si="25"/>
        <v>894404.39999999839</v>
      </c>
      <c r="FK73" s="493">
        <f t="shared" si="45"/>
        <v>1012585.726811721</v>
      </c>
      <c r="FL73" s="492">
        <f>+FN72</f>
        <v>269212.29941666638</v>
      </c>
      <c r="FM73" s="476">
        <f t="shared" si="74"/>
        <v>140458.59099999999</v>
      </c>
      <c r="FN73" s="476">
        <f t="shared" si="26"/>
        <v>128753.7084166664</v>
      </c>
      <c r="FO73" s="493">
        <f t="shared" si="46"/>
        <v>157471.34730197157</v>
      </c>
      <c r="FP73" s="492">
        <f>+FR72</f>
        <v>33920.600000000006</v>
      </c>
      <c r="FQ73" s="476">
        <f t="shared" si="75"/>
        <v>16960.3</v>
      </c>
      <c r="FR73" s="476">
        <f t="shared" si="27"/>
        <v>16960.300000000007</v>
      </c>
      <c r="FS73" s="493">
        <f t="shared" si="47"/>
        <v>19201.334097243747</v>
      </c>
      <c r="FT73" s="492">
        <f>+FV72</f>
        <v>2716.5363333333335</v>
      </c>
      <c r="FU73" s="476">
        <f t="shared" si="76"/>
        <v>1253.7860000000001</v>
      </c>
      <c r="FV73" s="476">
        <f t="shared" si="32"/>
        <v>1462.7503333333334</v>
      </c>
      <c r="FW73" s="493">
        <f t="shared" si="48"/>
        <v>1447.0652092565967</v>
      </c>
      <c r="FX73" s="492">
        <f>+FZ72</f>
        <v>9074834.9549999945</v>
      </c>
      <c r="FY73" s="476">
        <f t="shared" si="77"/>
        <v>4033259.9799999995</v>
      </c>
      <c r="FZ73" s="476">
        <f t="shared" si="28"/>
        <v>5041574.974999995</v>
      </c>
      <c r="GA73" s="493">
        <f t="shared" si="49"/>
        <v>4699423.9878763799</v>
      </c>
      <c r="GB73" s="492">
        <f>+GD72</f>
        <v>137054.46683333337</v>
      </c>
      <c r="GC73" s="476">
        <f t="shared" si="78"/>
        <v>53053.342000000004</v>
      </c>
      <c r="GD73" s="476">
        <f t="shared" si="29"/>
        <v>84001.124833333364</v>
      </c>
      <c r="GE73" s="493">
        <f t="shared" si="50"/>
        <v>64152.755628198123</v>
      </c>
      <c r="GF73" s="492">
        <f>+GH72</f>
        <v>-139258.9595</v>
      </c>
      <c r="GG73" s="476">
        <f t="shared" si="79"/>
        <v>-53906.693999999974</v>
      </c>
      <c r="GH73" s="476">
        <f t="shared" si="30"/>
        <v>-85352.265500000023</v>
      </c>
      <c r="GI73" s="493">
        <f t="shared" si="51"/>
        <v>-65184.639393802034</v>
      </c>
      <c r="GJ73" s="492">
        <f>+GL72</f>
        <v>9427981.1278333385</v>
      </c>
      <c r="GK73" s="476">
        <f t="shared" si="80"/>
        <v>3327522.7509999997</v>
      </c>
      <c r="GL73" s="476">
        <f t="shared" si="31"/>
        <v>6100458.3768333383</v>
      </c>
      <c r="GM73" s="493">
        <f t="shared" si="52"/>
        <v>4133601.3717378257</v>
      </c>
      <c r="GN73" s="492">
        <f>+GP72</f>
        <v>145207.93874999994</v>
      </c>
      <c r="GO73" s="476">
        <f t="shared" si="81"/>
        <v>49785.578999999998</v>
      </c>
      <c r="GP73" s="476">
        <f t="shared" si="36"/>
        <v>95422.359749999945</v>
      </c>
      <c r="GQ73" s="493">
        <f t="shared" si="53"/>
        <v>62394.127306292285</v>
      </c>
      <c r="GR73" s="492">
        <f>+GT72</f>
        <v>614621.6684999998</v>
      </c>
      <c r="GS73" s="476">
        <f t="shared" si="82"/>
        <v>175606.19100000002</v>
      </c>
      <c r="GT73" s="476">
        <f t="shared" si="37"/>
        <v>439015.4774999998</v>
      </c>
      <c r="GU73" s="493">
        <f t="shared" si="54"/>
        <v>233615.1091379601</v>
      </c>
      <c r="GV73" s="492">
        <f>+GX72</f>
        <v>16283406.721416667</v>
      </c>
      <c r="GW73" s="476">
        <f t="shared" si="83"/>
        <v>3686809.0689999992</v>
      </c>
      <c r="GX73" s="476">
        <f t="shared" si="55"/>
        <v>12596597.652416669</v>
      </c>
      <c r="GY73" s="493">
        <f t="shared" si="56"/>
        <v>5351249.2527424023</v>
      </c>
      <c r="GZ73" s="492">
        <f>+HB72</f>
        <v>45492270.022333331</v>
      </c>
      <c r="HA73" s="476">
        <f t="shared" si="96"/>
        <v>8028047.6510000005</v>
      </c>
      <c r="HB73" s="476">
        <f t="shared" si="61"/>
        <v>37464222.371333331</v>
      </c>
      <c r="HC73" s="493">
        <f t="shared" si="66"/>
        <v>12978349.223547654</v>
      </c>
      <c r="HD73" s="576">
        <f>+HF72</f>
        <v>-323530.52500000008</v>
      </c>
      <c r="HE73" s="580">
        <f t="shared" si="97"/>
        <v>-53183.1</v>
      </c>
      <c r="HF73" s="580">
        <f t="shared" si="67"/>
        <v>-270347.4250000001</v>
      </c>
      <c r="HG73" s="918">
        <f t="shared" si="84"/>
        <v>-88905.215618653368</v>
      </c>
      <c r="HH73" s="576">
        <f>+HJ72</f>
        <v>821790.53333333344</v>
      </c>
      <c r="HI73" s="575">
        <f t="shared" si="98"/>
        <v>129756.4</v>
      </c>
      <c r="HJ73" s="575">
        <f t="shared" si="68"/>
        <v>692034.13333333342</v>
      </c>
      <c r="HK73" s="918">
        <f t="shared" si="85"/>
        <v>221197.71231502539</v>
      </c>
      <c r="HL73" s="576">
        <f>+HN72</f>
        <v>3117348.791666667</v>
      </c>
      <c r="HM73" s="580">
        <f t="shared" si="104"/>
        <v>440096.3</v>
      </c>
      <c r="HN73" s="580">
        <f t="shared" si="86"/>
        <v>2677252.4916666672</v>
      </c>
      <c r="HO73" s="918">
        <f t="shared" si="99"/>
        <v>793852.66756164574</v>
      </c>
      <c r="HP73" s="576">
        <f>+HR72</f>
        <v>812481.11516666668</v>
      </c>
      <c r="HQ73" s="580">
        <f t="shared" si="111"/>
        <v>94657.993999999992</v>
      </c>
      <c r="HR73" s="580">
        <f t="shared" si="105"/>
        <v>717823.12116666674</v>
      </c>
      <c r="HS73" s="918">
        <f t="shared" si="108"/>
        <v>189506.91119630134</v>
      </c>
      <c r="HT73" s="576">
        <f>+HV72</f>
        <v>377188.5</v>
      </c>
      <c r="HU73" s="580">
        <f>+HT31</f>
        <v>39019.5</v>
      </c>
      <c r="HV73" s="580">
        <f t="shared" si="112"/>
        <v>338169</v>
      </c>
      <c r="HW73" s="918">
        <f t="shared" ref="HW73:HW74" si="113">+HT$29*HV73+HU73</f>
        <v>83703.158875775815</v>
      </c>
      <c r="HY73" s="492"/>
      <c r="HZ73" s="476"/>
      <c r="IA73" s="476"/>
      <c r="IB73" s="493"/>
      <c r="IC73" s="492"/>
      <c r="ID73" s="476"/>
      <c r="IE73" s="476"/>
      <c r="IF73" s="493"/>
      <c r="IG73" s="492"/>
      <c r="IH73" s="476"/>
      <c r="II73" s="476"/>
      <c r="IJ73" s="493"/>
    </row>
    <row r="74" spans="1:244">
      <c r="A74" s="554" t="s">
        <v>23</v>
      </c>
      <c r="B74" s="574">
        <v>2023</v>
      </c>
      <c r="C74" s="575">
        <f>+C73</f>
        <v>13262311.526704542</v>
      </c>
      <c r="D74" s="575">
        <f>+D73</f>
        <v>445791.98409090913</v>
      </c>
      <c r="E74" s="575">
        <f t="shared" si="6"/>
        <v>12816519.542613633</v>
      </c>
      <c r="F74" s="558">
        <f>+C$29*E74+D74</f>
        <v>1971823.3804457758</v>
      </c>
      <c r="G74" s="575">
        <f>+G73</f>
        <v>3417302.1115909065</v>
      </c>
      <c r="H74" s="575">
        <f>+H73</f>
        <v>115840.74954545456</v>
      </c>
      <c r="I74" s="575">
        <f t="shared" si="7"/>
        <v>3301461.362045452</v>
      </c>
      <c r="J74" s="558">
        <f>+G$29*I74+H74</f>
        <v>508937.61766027904</v>
      </c>
      <c r="K74" s="576">
        <f>+K73</f>
        <v>8780818.1326704472</v>
      </c>
      <c r="L74" s="575">
        <f>+L73</f>
        <v>305419.76113636367</v>
      </c>
      <c r="M74" s="575">
        <f t="shared" si="8"/>
        <v>8475398.371534083</v>
      </c>
      <c r="N74" s="558">
        <f>+K$29*M74+L74</f>
        <v>1314564.5580972387</v>
      </c>
      <c r="O74" s="576">
        <f>+O73</f>
        <v>3678919.8106060587</v>
      </c>
      <c r="P74" s="575">
        <f>+P73</f>
        <v>119316.31818181818</v>
      </c>
      <c r="Q74" s="575">
        <f t="shared" si="11"/>
        <v>3559603.4924242403</v>
      </c>
      <c r="R74" s="558">
        <f>+O$29*Q74+P74</f>
        <v>543149.53358423314</v>
      </c>
      <c r="S74" s="492">
        <f>+S73</f>
        <v>1700874.7424242403</v>
      </c>
      <c r="T74" s="476">
        <f>+T73</f>
        <v>58315.705454545445</v>
      </c>
      <c r="U74" s="476">
        <f t="shared" si="12"/>
        <v>1642559.0369696948</v>
      </c>
      <c r="V74" s="493">
        <f>+S$29*U74+T74</f>
        <v>253891.16199311567</v>
      </c>
      <c r="W74" s="492">
        <f>+W73</f>
        <v>21376553.087121215</v>
      </c>
      <c r="X74" s="476">
        <f>+X73</f>
        <v>693293.61363636365</v>
      </c>
      <c r="Y74" s="476">
        <f t="shared" si="13"/>
        <v>20683259.473484851</v>
      </c>
      <c r="Z74" s="493">
        <f>+W$29*Y74+X74</f>
        <v>3155998.3464265191</v>
      </c>
      <c r="AA74" s="492">
        <f>+AA73</f>
        <v>13938262.717803026</v>
      </c>
      <c r="AB74" s="476">
        <f>+AB73</f>
        <v>450833.29545454547</v>
      </c>
      <c r="AC74" s="476">
        <f t="shared" si="14"/>
        <v>13487429.422348481</v>
      </c>
      <c r="AD74" s="493">
        <f>+AA$29*AC74+AB74</f>
        <v>2056748.2777701651</v>
      </c>
      <c r="AE74" s="492">
        <f>+AE73</f>
        <v>140235.53409090923</v>
      </c>
      <c r="AF74" s="476">
        <f>+AF73</f>
        <v>4597.886363636364</v>
      </c>
      <c r="AG74" s="476">
        <f t="shared" si="15"/>
        <v>135637.64772727288</v>
      </c>
      <c r="AH74" s="493">
        <f>+AE$29*AG74+AF74</f>
        <v>20747.92680724727</v>
      </c>
      <c r="AI74" s="492">
        <f>+AI73</f>
        <v>9408259.912878789</v>
      </c>
      <c r="AJ74" s="476">
        <f>+AJ73</f>
        <v>295547.43181818182</v>
      </c>
      <c r="AK74" s="476">
        <f t="shared" si="19"/>
        <v>9112712.4810606074</v>
      </c>
      <c r="AL74" s="493">
        <f>+AI$29*AK74+AJ74</f>
        <v>1380575.6491759713</v>
      </c>
      <c r="AM74" s="492">
        <f>+AM73</f>
        <v>3492307.843977272</v>
      </c>
      <c r="AN74" s="476">
        <f>+AN73</f>
        <v>110866.91568181818</v>
      </c>
      <c r="AO74" s="476">
        <f t="shared" si="16"/>
        <v>3381440.928295454</v>
      </c>
      <c r="AP74" s="493">
        <f>+AM$29*AO74+AN74</f>
        <v>513486.75364493404</v>
      </c>
      <c r="AQ74" s="492">
        <f>+AQ73</f>
        <v>28731598.533409096</v>
      </c>
      <c r="AR74" s="476">
        <f>+AR73</f>
        <v>904932.23727272719</v>
      </c>
      <c r="AS74" s="476">
        <f t="shared" si="17"/>
        <v>27826666.296136368</v>
      </c>
      <c r="AT74" s="493">
        <f>+AQ$29*AS74+AR74</f>
        <v>4218184.815915795</v>
      </c>
      <c r="AU74" s="576">
        <f>+AU73</f>
        <v>18625000</v>
      </c>
      <c r="AV74" s="575">
        <f>+AV73</f>
        <v>750000</v>
      </c>
      <c r="AW74" s="575">
        <f t="shared" si="1"/>
        <v>17875000</v>
      </c>
      <c r="AX74" s="558">
        <f>+AU$29*AW74+AV74</f>
        <v>750000</v>
      </c>
      <c r="AY74" s="576">
        <f>+AY73</f>
        <v>12083333.333333332</v>
      </c>
      <c r="AZ74" s="575">
        <f>+AZ73</f>
        <v>500000</v>
      </c>
      <c r="BA74" s="575">
        <f t="shared" si="2"/>
        <v>11583333.333333332</v>
      </c>
      <c r="BB74" s="558">
        <f>+AY$29*BA74+AZ74</f>
        <v>500000</v>
      </c>
      <c r="BC74" s="576">
        <f>+BC73</f>
        <v>19000000</v>
      </c>
      <c r="BD74" s="575">
        <f>+BD73</f>
        <v>750000</v>
      </c>
      <c r="BE74" s="575">
        <f t="shared" si="4"/>
        <v>18250000</v>
      </c>
      <c r="BF74" s="558">
        <f>+BC$29*BE74+BD74</f>
        <v>750000</v>
      </c>
      <c r="BG74" s="576">
        <f>+BG73</f>
        <v>11952380.952380959</v>
      </c>
      <c r="BH74" s="575">
        <f>+BH73</f>
        <v>571428.57142857148</v>
      </c>
      <c r="BI74" s="575">
        <f t="shared" si="5"/>
        <v>11380952.380952388</v>
      </c>
      <c r="BJ74" s="558">
        <f>+BG$29*BI74+BH74</f>
        <v>571428.57142857148</v>
      </c>
      <c r="BK74" s="576">
        <f>+BK73</f>
        <v>14000000</v>
      </c>
      <c r="BL74" s="575">
        <f>+BL73</f>
        <v>1200000</v>
      </c>
      <c r="BM74" s="575">
        <f t="shared" si="9"/>
        <v>12800000</v>
      </c>
      <c r="BN74" s="558">
        <f>+BK$29*BM74+BL74</f>
        <v>1200000</v>
      </c>
      <c r="BO74" s="576">
        <f>+BO73</f>
        <v>11166666.666666666</v>
      </c>
      <c r="BP74" s="575">
        <f>+BP73</f>
        <v>666666.66666666663</v>
      </c>
      <c r="BQ74" s="575">
        <f t="shared" si="10"/>
        <v>10500000</v>
      </c>
      <c r="BR74" s="558">
        <f>+BO$29*BQ74+BP74</f>
        <v>666666.66666666663</v>
      </c>
      <c r="BS74" s="492">
        <f>+BS73</f>
        <v>265948.36363636376</v>
      </c>
      <c r="BT74" s="476">
        <f>+BT73</f>
        <v>8310.886363636364</v>
      </c>
      <c r="BU74" s="476">
        <f t="shared" si="18"/>
        <v>257637.47727272741</v>
      </c>
      <c r="BV74" s="493">
        <f>+BS$29*BU74+BT74</f>
        <v>38987.145849577035</v>
      </c>
      <c r="BW74" s="492">
        <f>+BW73</f>
        <v>18747339.886363644</v>
      </c>
      <c r="BX74" s="476">
        <f>+BX73</f>
        <v>576841.22727272729</v>
      </c>
      <c r="BY74" s="476">
        <f t="shared" si="20"/>
        <v>18170498.659090918</v>
      </c>
      <c r="BZ74" s="493">
        <f>+BW$29*BY74+BX74</f>
        <v>2621917.5827085753</v>
      </c>
      <c r="CA74" s="492">
        <f>+CA73</f>
        <v>1773638.560000001</v>
      </c>
      <c r="CB74" s="476">
        <f>+CB73</f>
        <v>54433.919999999998</v>
      </c>
      <c r="CC74" s="476">
        <f t="shared" si="21"/>
        <v>1719204.6400000011</v>
      </c>
      <c r="CD74" s="493">
        <f>+CA$29*CC74+CB74</f>
        <v>259135.37960265536</v>
      </c>
      <c r="CE74" s="492">
        <f>+CE73</f>
        <v>152382.18818181826</v>
      </c>
      <c r="CF74" s="476">
        <f>+CF73</f>
        <v>4725.0290909090909</v>
      </c>
      <c r="CG74" s="476">
        <f t="shared" si="22"/>
        <v>147657.15909090918</v>
      </c>
      <c r="CH74" s="493">
        <f>+CE$29*CG74+CF74</f>
        <v>22306.203131185404</v>
      </c>
      <c r="CI74" s="492">
        <f>+CI73</f>
        <v>410030.45454545435</v>
      </c>
      <c r="CJ74" s="476">
        <f>+CJ73</f>
        <v>12362.727272727272</v>
      </c>
      <c r="CK74" s="476">
        <f t="shared" si="23"/>
        <v>397667.72727272706</v>
      </c>
      <c r="CL74" s="493">
        <f>+CI$29*CK74+CJ74</f>
        <v>57119.939588333225</v>
      </c>
      <c r="CM74" s="492">
        <f>+CM73</f>
        <v>18259359.744602274</v>
      </c>
      <c r="CN74" s="476">
        <f>+CN73</f>
        <v>483691.64886363636</v>
      </c>
      <c r="CO74" s="476">
        <f t="shared" si="33"/>
        <v>17775668.095738638</v>
      </c>
      <c r="CP74" s="493">
        <f>+CM$29*CO74+CN74</f>
        <v>2484330.1127113421</v>
      </c>
      <c r="CQ74" s="492">
        <f>+CQ73</f>
        <v>76169532.653011337</v>
      </c>
      <c r="CR74" s="476">
        <f>+CR73</f>
        <v>2017735.9643181816</v>
      </c>
      <c r="CS74" s="476">
        <f t="shared" si="38"/>
        <v>74151796.688693151</v>
      </c>
      <c r="CT74" s="493">
        <f>+CQ$29*CS74+CR74</f>
        <v>10363466.533757575</v>
      </c>
      <c r="CU74" s="492">
        <f>+CU73</f>
        <v>25695424.155000009</v>
      </c>
      <c r="CV74" s="476">
        <f>+CV73</f>
        <v>676195.37250000006</v>
      </c>
      <c r="CW74" s="476">
        <f t="shared" si="39"/>
        <v>25019228.78250001</v>
      </c>
      <c r="CX74" s="493">
        <f>+CU$29*CW74+CV74</f>
        <v>3492091.3021767405</v>
      </c>
      <c r="CY74" s="492">
        <f>+CY73</f>
        <v>28248.368750000049</v>
      </c>
      <c r="CZ74" s="476">
        <f>+CZ73</f>
        <v>733.72386363636497</v>
      </c>
      <c r="DA74" s="476">
        <f t="shared" si="40"/>
        <v>27514.644886363683</v>
      </c>
      <c r="DB74" s="493">
        <f>+CY$29*DA74+CZ74</f>
        <v>3830.4770535750408</v>
      </c>
      <c r="DC74" s="492">
        <f>+DC73</f>
        <v>1703298.2318181822</v>
      </c>
      <c r="DD74" s="476">
        <f>+DD73</f>
        <v>44530.672727272722</v>
      </c>
      <c r="DE74" s="476">
        <f t="shared" si="41"/>
        <v>1658767.5590909095</v>
      </c>
      <c r="DF74" s="493">
        <f>+DC$29*DE74+DD74</f>
        <v>231223.75022097395</v>
      </c>
      <c r="DG74" s="492">
        <f>+DG73</f>
        <v>948619.76124999975</v>
      </c>
      <c r="DH74" s="476">
        <f>+DH73</f>
        <v>24639.474318181816</v>
      </c>
      <c r="DI74" s="476">
        <f t="shared" si="42"/>
        <v>923980.28693181789</v>
      </c>
      <c r="DJ74" s="493">
        <f>+DG$29*DI74+DH74</f>
        <v>128632.78089415169</v>
      </c>
      <c r="DK74" s="492">
        <f>+DK73</f>
        <v>20978644.538295455</v>
      </c>
      <c r="DL74" s="476">
        <f>+DL73</f>
        <v>549658.80886363634</v>
      </c>
      <c r="DM74" s="476">
        <f t="shared" si="43"/>
        <v>20428985.729431819</v>
      </c>
      <c r="DN74" s="493">
        <f>+DK$29*DM74+DL74</f>
        <v>2848926.2348511405</v>
      </c>
      <c r="DO74" s="492">
        <f>+DO73</f>
        <v>767380.90132575715</v>
      </c>
      <c r="DP74" s="476">
        <f t="shared" si="87"/>
        <v>19592.703863636354</v>
      </c>
      <c r="DQ74" s="476">
        <f t="shared" si="57"/>
        <v>747788.19746212079</v>
      </c>
      <c r="DR74" s="493">
        <f t="shared" si="62"/>
        <v>103755.71943055681</v>
      </c>
      <c r="DS74" s="492">
        <f>+DS73</f>
        <v>327682.23272727156</v>
      </c>
      <c r="DT74" s="476">
        <f t="shared" si="88"/>
        <v>8295.7527272726966</v>
      </c>
      <c r="DU74" s="476">
        <f t="shared" si="58"/>
        <v>319386.47999999888</v>
      </c>
      <c r="DV74" s="493">
        <f t="shared" si="63"/>
        <v>44242.467825655171</v>
      </c>
      <c r="DW74" s="492">
        <f>+DW73</f>
        <v>47954.213806818167</v>
      </c>
      <c r="DX74" s="476">
        <f t="shared" si="89"/>
        <v>1221.7634090909089</v>
      </c>
      <c r="DY74" s="476">
        <f t="shared" si="59"/>
        <v>46732.450397727254</v>
      </c>
      <c r="DZ74" s="493">
        <f t="shared" si="64"/>
        <v>6481.4665759137451</v>
      </c>
      <c r="EA74" s="492">
        <f>+EA73</f>
        <v>-284218.70517045638</v>
      </c>
      <c r="EB74" s="476">
        <f t="shared" si="90"/>
        <v>-7120.3015909091364</v>
      </c>
      <c r="EC74" s="476">
        <f t="shared" si="60"/>
        <v>-277098.40357954724</v>
      </c>
      <c r="ED74" s="493">
        <f t="shared" si="65"/>
        <v>-38307.524568195549</v>
      </c>
      <c r="EE74" s="576">
        <f>+EE73</f>
        <v>7972519.5486363657</v>
      </c>
      <c r="EF74" s="580">
        <f t="shared" si="100"/>
        <v>192495.44181818186</v>
      </c>
      <c r="EG74" s="580">
        <f t="shared" si="69"/>
        <v>7780024.1068181843</v>
      </c>
      <c r="EH74" s="493">
        <f t="shared" si="91"/>
        <v>1068131.4738328804</v>
      </c>
      <c r="EI74" s="576">
        <f>+EI73</f>
        <v>321957.76655303029</v>
      </c>
      <c r="EJ74" s="580">
        <f t="shared" si="101"/>
        <v>7696.2015909090906</v>
      </c>
      <c r="EK74" s="580">
        <f t="shared" si="70"/>
        <v>314261.56496212119</v>
      </c>
      <c r="EL74" s="493">
        <f t="shared" si="92"/>
        <v>43066.111244145592</v>
      </c>
      <c r="EM74" s="576">
        <f>+EM73</f>
        <v>10973611.272272727</v>
      </c>
      <c r="EN74" s="580">
        <f t="shared" si="102"/>
        <v>261276.45886363636</v>
      </c>
      <c r="EO74" s="580">
        <f t="shared" si="71"/>
        <v>10712334.81340909</v>
      </c>
      <c r="EP74" s="493">
        <f t="shared" si="93"/>
        <v>1466941.9196436359</v>
      </c>
      <c r="EQ74" s="576">
        <f>+EQ73</f>
        <v>21274650.251136363</v>
      </c>
      <c r="ER74" s="580">
        <f t="shared" si="109"/>
        <v>500580.00590909086</v>
      </c>
      <c r="ES74" s="580">
        <f t="shared" si="94"/>
        <v>20774070.24522727</v>
      </c>
      <c r="ET74" s="493">
        <f t="shared" si="106"/>
        <v>2838686.4421582767</v>
      </c>
      <c r="EU74" s="576">
        <f>+EU73</f>
        <v>27489666.206818186</v>
      </c>
      <c r="EV74" s="580">
        <f t="shared" si="110"/>
        <v>646815.67545454553</v>
      </c>
      <c r="EW74" s="580">
        <f t="shared" si="95"/>
        <v>26842850.53136364</v>
      </c>
      <c r="EX74" s="493">
        <f t="shared" si="107"/>
        <v>3667958.9013024177</v>
      </c>
      <c r="EY74" s="582">
        <f t="shared" si="103"/>
        <v>47691032.441512391</v>
      </c>
      <c r="EZ74" s="579">
        <f>+EY74</f>
        <v>47691032.441512391</v>
      </c>
      <c r="FA74" s="553"/>
      <c r="FD74" s="492">
        <f>+FD73</f>
        <v>1482498.0333333355</v>
      </c>
      <c r="FE74" s="476">
        <f t="shared" si="72"/>
        <v>1270712.6000000001</v>
      </c>
      <c r="FF74" s="476">
        <f t="shared" si="24"/>
        <v>211785.43333333544</v>
      </c>
      <c r="FG74" s="493">
        <f t="shared" si="44"/>
        <v>1298696.6791377245</v>
      </c>
      <c r="FH74" s="492">
        <f>+FH73</f>
        <v>1788808.7999999984</v>
      </c>
      <c r="FI74" s="476">
        <f t="shared" si="73"/>
        <v>894404.4</v>
      </c>
      <c r="FJ74" s="476">
        <f t="shared" si="25"/>
        <v>894404.39999999839</v>
      </c>
      <c r="FK74" s="493">
        <f t="shared" si="45"/>
        <v>1012585.726811721</v>
      </c>
      <c r="FL74" s="492">
        <f>+FL73</f>
        <v>269212.29941666638</v>
      </c>
      <c r="FM74" s="476">
        <f t="shared" si="74"/>
        <v>140458.59099999999</v>
      </c>
      <c r="FN74" s="476">
        <f t="shared" si="26"/>
        <v>128753.7084166664</v>
      </c>
      <c r="FO74" s="493">
        <f t="shared" si="46"/>
        <v>157471.34730197157</v>
      </c>
      <c r="FP74" s="492">
        <f>+FP73</f>
        <v>33920.600000000006</v>
      </c>
      <c r="FQ74" s="476">
        <f t="shared" si="75"/>
        <v>16960.3</v>
      </c>
      <c r="FR74" s="476">
        <f t="shared" si="27"/>
        <v>16960.300000000007</v>
      </c>
      <c r="FS74" s="493">
        <f t="shared" si="47"/>
        <v>19201.334097243747</v>
      </c>
      <c r="FT74" s="492">
        <f>+FT73</f>
        <v>2716.5363333333335</v>
      </c>
      <c r="FU74" s="476">
        <f t="shared" si="76"/>
        <v>1253.7860000000001</v>
      </c>
      <c r="FV74" s="476">
        <f t="shared" si="32"/>
        <v>1462.7503333333334</v>
      </c>
      <c r="FW74" s="493">
        <f t="shared" si="48"/>
        <v>1447.0652092565967</v>
      </c>
      <c r="FX74" s="492">
        <f>+FX73</f>
        <v>9074834.9549999945</v>
      </c>
      <c r="FY74" s="476">
        <f t="shared" si="77"/>
        <v>4033259.9799999995</v>
      </c>
      <c r="FZ74" s="476">
        <f t="shared" si="28"/>
        <v>5041574.974999995</v>
      </c>
      <c r="GA74" s="493">
        <f t="shared" si="49"/>
        <v>4699423.9878763799</v>
      </c>
      <c r="GB74" s="492">
        <f>+GB73</f>
        <v>137054.46683333337</v>
      </c>
      <c r="GC74" s="476">
        <f t="shared" si="78"/>
        <v>53053.342000000004</v>
      </c>
      <c r="GD74" s="476">
        <f t="shared" si="29"/>
        <v>84001.124833333364</v>
      </c>
      <c r="GE74" s="493">
        <f t="shared" si="50"/>
        <v>64152.755628198123</v>
      </c>
      <c r="GF74" s="492">
        <f>+GF73</f>
        <v>-139258.9595</v>
      </c>
      <c r="GG74" s="476">
        <f t="shared" si="79"/>
        <v>-53906.693999999974</v>
      </c>
      <c r="GH74" s="476">
        <f t="shared" si="30"/>
        <v>-85352.265500000023</v>
      </c>
      <c r="GI74" s="493">
        <f t="shared" si="51"/>
        <v>-65184.639393802034</v>
      </c>
      <c r="GJ74" s="492">
        <f>+GJ73</f>
        <v>9427981.1278333385</v>
      </c>
      <c r="GK74" s="476">
        <f t="shared" si="80"/>
        <v>3327522.7509999997</v>
      </c>
      <c r="GL74" s="476">
        <f t="shared" si="31"/>
        <v>6100458.3768333383</v>
      </c>
      <c r="GM74" s="493">
        <f t="shared" si="52"/>
        <v>4133601.3717378257</v>
      </c>
      <c r="GN74" s="492">
        <f>+GN73</f>
        <v>145207.93874999994</v>
      </c>
      <c r="GO74" s="476">
        <f t="shared" si="81"/>
        <v>49785.578999999998</v>
      </c>
      <c r="GP74" s="476">
        <f t="shared" si="36"/>
        <v>95422.359749999945</v>
      </c>
      <c r="GQ74" s="493">
        <f t="shared" si="53"/>
        <v>62394.127306292285</v>
      </c>
      <c r="GR74" s="492">
        <f>+GR73</f>
        <v>614621.6684999998</v>
      </c>
      <c r="GS74" s="476">
        <f t="shared" si="82"/>
        <v>175606.19100000002</v>
      </c>
      <c r="GT74" s="476">
        <f t="shared" si="37"/>
        <v>439015.4774999998</v>
      </c>
      <c r="GU74" s="493">
        <f t="shared" si="54"/>
        <v>233615.1091379601</v>
      </c>
      <c r="GV74" s="492">
        <f>+GV73</f>
        <v>16283406.721416667</v>
      </c>
      <c r="GW74" s="476">
        <f t="shared" si="83"/>
        <v>3686809.0689999992</v>
      </c>
      <c r="GX74" s="476">
        <f t="shared" si="55"/>
        <v>12596597.652416669</v>
      </c>
      <c r="GY74" s="493">
        <f t="shared" si="56"/>
        <v>5351249.2527424023</v>
      </c>
      <c r="GZ74" s="492">
        <f>+GZ73</f>
        <v>45492270.022333331</v>
      </c>
      <c r="HA74" s="476">
        <f t="shared" si="96"/>
        <v>8028047.6510000005</v>
      </c>
      <c r="HB74" s="476">
        <f t="shared" si="61"/>
        <v>37464222.371333331</v>
      </c>
      <c r="HC74" s="493">
        <f t="shared" si="66"/>
        <v>12978349.223547654</v>
      </c>
      <c r="HD74" s="576">
        <f>+HD73</f>
        <v>-323530.52500000008</v>
      </c>
      <c r="HE74" s="580">
        <f t="shared" si="97"/>
        <v>-53183.1</v>
      </c>
      <c r="HF74" s="580">
        <f t="shared" si="67"/>
        <v>-270347.4250000001</v>
      </c>
      <c r="HG74" s="918">
        <f t="shared" si="84"/>
        <v>-88905.215618653368</v>
      </c>
      <c r="HH74" s="576">
        <f>+HH73</f>
        <v>821790.53333333344</v>
      </c>
      <c r="HI74" s="575">
        <f t="shared" si="98"/>
        <v>129756.4</v>
      </c>
      <c r="HJ74" s="575">
        <f t="shared" si="68"/>
        <v>692034.13333333342</v>
      </c>
      <c r="HK74" s="918">
        <f t="shared" si="85"/>
        <v>221197.71231502539</v>
      </c>
      <c r="HL74" s="576">
        <f>+HL73</f>
        <v>3117348.791666667</v>
      </c>
      <c r="HM74" s="580">
        <f t="shared" si="104"/>
        <v>440096.3</v>
      </c>
      <c r="HN74" s="580">
        <f t="shared" si="86"/>
        <v>2677252.4916666672</v>
      </c>
      <c r="HO74" s="918">
        <f t="shared" si="99"/>
        <v>793852.66756164574</v>
      </c>
      <c r="HP74" s="576">
        <f>+HP73</f>
        <v>812481.11516666668</v>
      </c>
      <c r="HQ74" s="580">
        <f t="shared" si="111"/>
        <v>94657.993999999992</v>
      </c>
      <c r="HR74" s="580">
        <f t="shared" si="105"/>
        <v>717823.12116666674</v>
      </c>
      <c r="HS74" s="918">
        <f t="shared" si="108"/>
        <v>189506.91119630134</v>
      </c>
      <c r="HT74" s="576">
        <f>+HT73</f>
        <v>377188.5</v>
      </c>
      <c r="HU74" s="580">
        <f t="shared" ref="HU74" si="114">+HU73</f>
        <v>39019.5</v>
      </c>
      <c r="HV74" s="580">
        <f t="shared" si="112"/>
        <v>338169</v>
      </c>
      <c r="HW74" s="918">
        <f t="shared" si="113"/>
        <v>83703.158875775815</v>
      </c>
      <c r="HY74" s="492"/>
      <c r="HZ74" s="476"/>
      <c r="IA74" s="476"/>
      <c r="IB74" s="493"/>
      <c r="IC74" s="492"/>
      <c r="ID74" s="476"/>
      <c r="IE74" s="476"/>
      <c r="IF74" s="493"/>
      <c r="IG74" s="492"/>
      <c r="IH74" s="476"/>
      <c r="II74" s="476"/>
      <c r="IJ74" s="493"/>
    </row>
    <row r="75" spans="1:244">
      <c r="A75" s="554" t="s">
        <v>24</v>
      </c>
      <c r="B75" s="574">
        <v>2024</v>
      </c>
      <c r="C75" s="575">
        <f>+E74</f>
        <v>12816519.542613633</v>
      </c>
      <c r="D75" s="575">
        <f>+C$31</f>
        <v>445791.98409090913</v>
      </c>
      <c r="E75" s="575">
        <f t="shared" si="6"/>
        <v>12370727.558522724</v>
      </c>
      <c r="F75" s="558">
        <f>+C$28*E75+D75</f>
        <v>1838108.3373251681</v>
      </c>
      <c r="G75" s="575">
        <f>+I74</f>
        <v>3301461.362045452</v>
      </c>
      <c r="H75" s="575">
        <f>+G$31</f>
        <v>115840.74954545456</v>
      </c>
      <c r="I75" s="575">
        <f t="shared" si="7"/>
        <v>3185620.6124999975</v>
      </c>
      <c r="J75" s="558">
        <f>+G$28*I75+H75</f>
        <v>474380.02324630908</v>
      </c>
      <c r="K75" s="576">
        <f>+M74</f>
        <v>8475398.371534083</v>
      </c>
      <c r="L75" s="575">
        <f>+K$31</f>
        <v>305419.76113636367</v>
      </c>
      <c r="M75" s="575">
        <f t="shared" si="8"/>
        <v>8169978.6103977198</v>
      </c>
      <c r="N75" s="558">
        <f>+K$28*M75+L75</f>
        <v>1224944.8877724274</v>
      </c>
      <c r="O75" s="576">
        <f>+Q74</f>
        <v>3559603.4924242403</v>
      </c>
      <c r="P75" s="575">
        <f>+O$31</f>
        <v>119316.31818181818</v>
      </c>
      <c r="Q75" s="575">
        <f t="shared" si="11"/>
        <v>3440287.174242422</v>
      </c>
      <c r="R75" s="558">
        <f>+O$28*Q75+P75</f>
        <v>506518.12744159676</v>
      </c>
      <c r="S75" s="492">
        <f>+U74</f>
        <v>1642559.0369696948</v>
      </c>
      <c r="T75" s="476">
        <f>+S$31</f>
        <v>58315.705454545445</v>
      </c>
      <c r="U75" s="476">
        <f t="shared" si="12"/>
        <v>1584243.3315151492</v>
      </c>
      <c r="V75" s="493">
        <f>+S$28*U75+T75</f>
        <v>236621.1355544281</v>
      </c>
      <c r="W75" s="492">
        <f>+Y74</f>
        <v>20683259.473484851</v>
      </c>
      <c r="X75" s="476">
        <f>+W$31</f>
        <v>693293.61363636365</v>
      </c>
      <c r="Y75" s="476">
        <f t="shared" si="13"/>
        <v>19989965.859848488</v>
      </c>
      <c r="Z75" s="493">
        <f>+W$28*Y75+X75</f>
        <v>2943149.6738877823</v>
      </c>
      <c r="AA75" s="492">
        <f>+AC74</f>
        <v>13487429.422348481</v>
      </c>
      <c r="AB75" s="476">
        <f>+AA$31</f>
        <v>450833.29545454547</v>
      </c>
      <c r="AC75" s="476">
        <f t="shared" si="14"/>
        <v>13036596.126893936</v>
      </c>
      <c r="AD75" s="493">
        <f>+AA$28*AC75+AB75</f>
        <v>1918092.669821721</v>
      </c>
      <c r="AE75" s="492">
        <f>+AG74</f>
        <v>135637.64772727288</v>
      </c>
      <c r="AF75" s="476">
        <f>+AE$31</f>
        <v>4597.886363636364</v>
      </c>
      <c r="AG75" s="476">
        <f t="shared" si="15"/>
        <v>131039.76136363651</v>
      </c>
      <c r="AH75" s="493">
        <f>+AE$28*AG75+AF75</f>
        <v>19346.315815937181</v>
      </c>
      <c r="AI75" s="492">
        <f>+AK74</f>
        <v>9112712.4810606074</v>
      </c>
      <c r="AJ75" s="476">
        <f>+AI$31</f>
        <v>295547.43181818182</v>
      </c>
      <c r="AK75" s="476">
        <f t="shared" si="19"/>
        <v>8817165.0492424257</v>
      </c>
      <c r="AL75" s="493">
        <f>+AI$28*AK75+AJ75</f>
        <v>1287912.919551207</v>
      </c>
      <c r="AM75" s="492">
        <f>+AO74</f>
        <v>3381440.928295454</v>
      </c>
      <c r="AN75" s="476">
        <f>+AM$31</f>
        <v>110866.91568181818</v>
      </c>
      <c r="AO75" s="476">
        <f t="shared" si="16"/>
        <v>3270574.012613636</v>
      </c>
      <c r="AP75" s="493">
        <f>+AM$28*AO75+AN75</f>
        <v>478967.63252993382</v>
      </c>
      <c r="AQ75" s="492">
        <f>+AS74</f>
        <v>27826666.296136368</v>
      </c>
      <c r="AR75" s="476">
        <f>+AQ$31</f>
        <v>904932.23727272719</v>
      </c>
      <c r="AS75" s="476">
        <f t="shared" si="17"/>
        <v>26921734.05886364</v>
      </c>
      <c r="AT75" s="493">
        <f>+AQ$28*AS75+AR75</f>
        <v>3934953.7465375992</v>
      </c>
      <c r="AU75" s="576">
        <f>+AW74</f>
        <v>17875000</v>
      </c>
      <c r="AV75" s="575">
        <f>+AU$31</f>
        <v>750000</v>
      </c>
      <c r="AW75" s="575">
        <f t="shared" si="1"/>
        <v>17125000</v>
      </c>
      <c r="AX75" s="558">
        <f>+AU$28*AW75+AV75</f>
        <v>750000</v>
      </c>
      <c r="AY75" s="576">
        <f>+BA74</f>
        <v>11583333.333333332</v>
      </c>
      <c r="AZ75" s="575">
        <f>+AY$31</f>
        <v>500000</v>
      </c>
      <c r="BA75" s="575">
        <f t="shared" si="2"/>
        <v>11083333.333333332</v>
      </c>
      <c r="BB75" s="558">
        <f>+AY$28*BA75+AZ75</f>
        <v>500000</v>
      </c>
      <c r="BC75" s="576">
        <f>+BE74</f>
        <v>18250000</v>
      </c>
      <c r="BD75" s="575">
        <f>+BC$31</f>
        <v>750000</v>
      </c>
      <c r="BE75" s="575">
        <f t="shared" si="4"/>
        <v>17500000</v>
      </c>
      <c r="BF75" s="558">
        <f>+BC$28*BE75+BD75</f>
        <v>750000</v>
      </c>
      <c r="BG75" s="576">
        <f>+BI74</f>
        <v>11380952.380952388</v>
      </c>
      <c r="BH75" s="575">
        <f>+BG$31</f>
        <v>571428.57142857148</v>
      </c>
      <c r="BI75" s="575">
        <f t="shared" si="5"/>
        <v>10809523.809523817</v>
      </c>
      <c r="BJ75" s="558">
        <f>+BG$28*BI75+BH75</f>
        <v>571428.57142857148</v>
      </c>
      <c r="BK75" s="576">
        <f>+BM74</f>
        <v>12800000</v>
      </c>
      <c r="BL75" s="575">
        <f>+BK$31</f>
        <v>1200000</v>
      </c>
      <c r="BM75" s="575">
        <f t="shared" si="9"/>
        <v>11600000</v>
      </c>
      <c r="BN75" s="558">
        <f>+BK$28*BM75+BL75</f>
        <v>1200000</v>
      </c>
      <c r="BO75" s="576">
        <f>+BQ74</f>
        <v>10500000</v>
      </c>
      <c r="BP75" s="575">
        <f>+BO$31</f>
        <v>666666.66666666663</v>
      </c>
      <c r="BQ75" s="575">
        <f t="shared" si="10"/>
        <v>9833333.333333334</v>
      </c>
      <c r="BR75" s="558">
        <f>+BO$28*BQ75+BP75</f>
        <v>666666.66666666663</v>
      </c>
      <c r="BS75" s="492">
        <f>+BU74</f>
        <v>257637.47727272741</v>
      </c>
      <c r="BT75" s="476">
        <f>+BS$31</f>
        <v>8310.886363636364</v>
      </c>
      <c r="BU75" s="476">
        <f t="shared" si="18"/>
        <v>249326.59090909106</v>
      </c>
      <c r="BV75" s="493">
        <f>+BS$28*BU75+BT75</f>
        <v>36372.412104676143</v>
      </c>
      <c r="BW75" s="492">
        <f>+BY74</f>
        <v>18170498.659090918</v>
      </c>
      <c r="BX75" s="476">
        <f>+BW$31</f>
        <v>576841.22727272729</v>
      </c>
      <c r="BY75" s="476">
        <f t="shared" si="20"/>
        <v>17593657.431818191</v>
      </c>
      <c r="BZ75" s="493">
        <f>+BW$28*BY75+BX75</f>
        <v>2556994.5238058502</v>
      </c>
      <c r="CA75" s="492">
        <f>+CC74</f>
        <v>1719204.6400000011</v>
      </c>
      <c r="CB75" s="476">
        <f>+CA$31</f>
        <v>54433.919999999998</v>
      </c>
      <c r="CC75" s="476">
        <f t="shared" si="21"/>
        <v>1664770.7200000011</v>
      </c>
      <c r="CD75" s="493">
        <f>+CA$28*CC75+CB75</f>
        <v>241802.64887033077</v>
      </c>
      <c r="CE75" s="492">
        <f>+CG74</f>
        <v>147657.15909090918</v>
      </c>
      <c r="CF75" s="476">
        <f>+CE$31</f>
        <v>4725.0290909090909</v>
      </c>
      <c r="CG75" s="476">
        <f t="shared" si="22"/>
        <v>142932.13000000009</v>
      </c>
      <c r="CH75" s="493">
        <f>+CE$28*CG75+CF75</f>
        <v>20811.935949067236</v>
      </c>
      <c r="CI75" s="492">
        <f>+CK74</f>
        <v>397667.72727272706</v>
      </c>
      <c r="CJ75" s="476">
        <f>+CI$31</f>
        <v>12362.727272727272</v>
      </c>
      <c r="CK75" s="476">
        <f t="shared" si="23"/>
        <v>385304.99999999977</v>
      </c>
      <c r="CL75" s="493">
        <f>+CI$28*CK75+CJ75</f>
        <v>55728.523661423191</v>
      </c>
      <c r="CM75" s="492">
        <f>+CO74</f>
        <v>17775668.095738638</v>
      </c>
      <c r="CN75" s="476">
        <f>+CM$31</f>
        <v>483691.64886363636</v>
      </c>
      <c r="CO75" s="476">
        <f t="shared" si="33"/>
        <v>17291976.446875002</v>
      </c>
      <c r="CP75" s="493">
        <f>+CM$28*CO75+CN75</f>
        <v>2429890.9708379353</v>
      </c>
      <c r="CQ75" s="492">
        <f>+CS74</f>
        <v>74151796.688693151</v>
      </c>
      <c r="CR75" s="476">
        <f>+CQ$31</f>
        <v>2017735.9643181816</v>
      </c>
      <c r="CS75" s="476">
        <f t="shared" si="38"/>
        <v>72134060.724374965</v>
      </c>
      <c r="CT75" s="493">
        <f>+CQ$28*CS75+CR75</f>
        <v>10136371.824385073</v>
      </c>
      <c r="CU75" s="492">
        <f>+CW74</f>
        <v>25019228.78250001</v>
      </c>
      <c r="CV75" s="476">
        <f>+CU$31</f>
        <v>676195.37250000006</v>
      </c>
      <c r="CW75" s="476">
        <f t="shared" si="39"/>
        <v>24343033.410000011</v>
      </c>
      <c r="CX75" s="493">
        <f>+CU$28*CW75+CV75</f>
        <v>3415986.0067800721</v>
      </c>
      <c r="CY75" s="492">
        <f>+DA74</f>
        <v>27514.644886363683</v>
      </c>
      <c r="CZ75" s="476">
        <f>+CY$31</f>
        <v>733.72386363636497</v>
      </c>
      <c r="DA75" s="476">
        <f t="shared" si="40"/>
        <v>26780.921022727318</v>
      </c>
      <c r="DB75" s="493">
        <f>+CY$28*DA75+CZ75</f>
        <v>3747.8969685100096</v>
      </c>
      <c r="DC75" s="492">
        <f>+DE74</f>
        <v>1658767.5590909095</v>
      </c>
      <c r="DD75" s="476">
        <f>+DC$31</f>
        <v>44530.672727272722</v>
      </c>
      <c r="DE75" s="476">
        <f t="shared" si="41"/>
        <v>1614236.8863636369</v>
      </c>
      <c r="DF75" s="493">
        <f>+DC$28*DE75+DD75</f>
        <v>226211.8555231565</v>
      </c>
      <c r="DG75" s="492">
        <f>+DI74</f>
        <v>923980.28693181789</v>
      </c>
      <c r="DH75" s="476">
        <f>+DG$31</f>
        <v>24639.474318181816</v>
      </c>
      <c r="DI75" s="476">
        <f t="shared" si="42"/>
        <v>899340.81261363602</v>
      </c>
      <c r="DJ75" s="493">
        <f>+DG$28*DI75+DH75</f>
        <v>125859.62605212582</v>
      </c>
      <c r="DK75" s="492">
        <f>+DM74</f>
        <v>20428985.729431819</v>
      </c>
      <c r="DL75" s="476">
        <f>+DK$31</f>
        <v>549658.80886363634</v>
      </c>
      <c r="DM75" s="476">
        <f t="shared" si="43"/>
        <v>19879326.920568183</v>
      </c>
      <c r="DN75" s="493">
        <f>+DK$28*DM75+DL75</f>
        <v>2787062.5372909391</v>
      </c>
      <c r="DO75" s="492">
        <f>+DQ74</f>
        <v>747788.19746212079</v>
      </c>
      <c r="DP75" s="476">
        <f t="shared" si="87"/>
        <v>19592.703863636354</v>
      </c>
      <c r="DQ75" s="476">
        <f t="shared" si="57"/>
        <v>728195.49359848443</v>
      </c>
      <c r="DR75" s="493">
        <f t="shared" si="62"/>
        <v>101550.57491788641</v>
      </c>
      <c r="DS75" s="492">
        <f>+DU74</f>
        <v>319386.47999999888</v>
      </c>
      <c r="DT75" s="476">
        <f t="shared" si="88"/>
        <v>8295.7527272726966</v>
      </c>
      <c r="DU75" s="476">
        <f t="shared" si="58"/>
        <v>311090.72727272619</v>
      </c>
      <c r="DV75" s="493">
        <f t="shared" si="63"/>
        <v>43308.786914008873</v>
      </c>
      <c r="DW75" s="492">
        <f>+DY74</f>
        <v>46732.450397727254</v>
      </c>
      <c r="DX75" s="476">
        <f t="shared" si="89"/>
        <v>1221.7634090909089</v>
      </c>
      <c r="DY75" s="476">
        <f t="shared" si="59"/>
        <v>45510.686988636342</v>
      </c>
      <c r="DZ75" s="493">
        <f t="shared" si="64"/>
        <v>6343.9579963889646</v>
      </c>
      <c r="EA75" s="492">
        <f>+EC74</f>
        <v>-277098.40357954724</v>
      </c>
      <c r="EB75" s="476">
        <f t="shared" si="90"/>
        <v>-7120.3015909091364</v>
      </c>
      <c r="EC75" s="476">
        <f t="shared" si="60"/>
        <v>-269978.10198863811</v>
      </c>
      <c r="ED75" s="493">
        <f t="shared" si="65"/>
        <v>-37506.139823597179</v>
      </c>
      <c r="EE75" s="576">
        <f>+EG74</f>
        <v>7780024.1068181843</v>
      </c>
      <c r="EF75" s="580">
        <f t="shared" si="100"/>
        <v>192495.44181818186</v>
      </c>
      <c r="EG75" s="580">
        <f t="shared" si="69"/>
        <v>7587528.6650000028</v>
      </c>
      <c r="EH75" s="493">
        <f t="shared" si="91"/>
        <v>1046466.2524222075</v>
      </c>
      <c r="EI75" s="576">
        <f>+EK74</f>
        <v>314261.56496212119</v>
      </c>
      <c r="EJ75" s="580">
        <f t="shared" si="101"/>
        <v>7696.2015909090906</v>
      </c>
      <c r="EK75" s="580">
        <f t="shared" si="70"/>
        <v>306565.36337121209</v>
      </c>
      <c r="EL75" s="493">
        <f t="shared" si="92"/>
        <v>42199.90937508674</v>
      </c>
      <c r="EM75" s="576">
        <f>+EO74</f>
        <v>10712334.81340909</v>
      </c>
      <c r="EN75" s="580">
        <f t="shared" si="102"/>
        <v>261276.45886363636</v>
      </c>
      <c r="EO75" s="580">
        <f t="shared" si="71"/>
        <v>10451058.354545454</v>
      </c>
      <c r="EP75" s="493">
        <f t="shared" si="93"/>
        <v>1437535.4449904654</v>
      </c>
      <c r="EQ75" s="576">
        <f>+ES74</f>
        <v>20774070.24522727</v>
      </c>
      <c r="ER75" s="580">
        <f t="shared" si="109"/>
        <v>500580.00590909086</v>
      </c>
      <c r="ES75" s="580">
        <f t="shared" si="94"/>
        <v>20273490.239318177</v>
      </c>
      <c r="ET75" s="493">
        <f t="shared" si="106"/>
        <v>2782346.5280317902</v>
      </c>
      <c r="EU75" s="576">
        <f>+EW74</f>
        <v>26842850.53136364</v>
      </c>
      <c r="EV75" s="580">
        <f t="shared" si="110"/>
        <v>646815.67545454553</v>
      </c>
      <c r="EW75" s="580">
        <f t="shared" si="95"/>
        <v>26196034.855909094</v>
      </c>
      <c r="EX75" s="493">
        <f t="shared" si="107"/>
        <v>3595160.2693542764</v>
      </c>
      <c r="EY75" s="582">
        <f t="shared" si="103"/>
        <v>45917241.815891765</v>
      </c>
      <c r="EZ75" s="557"/>
      <c r="FA75" s="578">
        <f>+EY75</f>
        <v>45917241.815891765</v>
      </c>
      <c r="FD75" s="492">
        <f>+FF74</f>
        <v>211785.43333333544</v>
      </c>
      <c r="FE75" s="476">
        <f>+FD$31/12*(12-10)</f>
        <v>211785.43333333335</v>
      </c>
      <c r="FF75" s="476">
        <f t="shared" si="24"/>
        <v>2.0954757928848267E-9</v>
      </c>
      <c r="FG75" s="493">
        <f t="shared" si="44"/>
        <v>211785.43333333364</v>
      </c>
      <c r="FH75" s="492">
        <f>+FJ74</f>
        <v>894404.39999999839</v>
      </c>
      <c r="FI75" s="476">
        <f>+FH$31/12*(12-0)</f>
        <v>894404.39999999991</v>
      </c>
      <c r="FJ75" s="476">
        <f t="shared" si="25"/>
        <v>-1.5133991837501526E-9</v>
      </c>
      <c r="FK75" s="493">
        <f t="shared" si="45"/>
        <v>894404.39999999967</v>
      </c>
      <c r="FL75" s="492">
        <f>+FN74</f>
        <v>128753.7084166664</v>
      </c>
      <c r="FM75" s="476">
        <f>+FL$31/12*(12-1)</f>
        <v>128753.70841666666</v>
      </c>
      <c r="FN75" s="476">
        <f t="shared" si="26"/>
        <v>-2.6193447411060333E-10</v>
      </c>
      <c r="FO75" s="493">
        <f t="shared" si="46"/>
        <v>128753.70841666663</v>
      </c>
      <c r="FP75" s="492">
        <f>+FR74</f>
        <v>16960.300000000007</v>
      </c>
      <c r="FQ75" s="476">
        <f>+FP$31/12*(12-0)</f>
        <v>16960.3</v>
      </c>
      <c r="FR75" s="476">
        <f t="shared" si="27"/>
        <v>0</v>
      </c>
      <c r="FS75" s="493">
        <f t="shared" si="47"/>
        <v>16960.3</v>
      </c>
      <c r="FT75" s="492">
        <f>+FV74</f>
        <v>1462.7503333333334</v>
      </c>
      <c r="FU75" s="476">
        <f t="shared" si="76"/>
        <v>1253.7860000000001</v>
      </c>
      <c r="FV75" s="476">
        <f t="shared" ref="FV75:FV76" si="115">+FT75-FU75</f>
        <v>208.96433333333334</v>
      </c>
      <c r="FW75" s="493">
        <f t="shared" ref="FW75:FW76" si="116">+FT$29*FV75+FU75</f>
        <v>1281.3973156080854</v>
      </c>
      <c r="FX75" s="492">
        <f>+FZ74</f>
        <v>5041574.974999995</v>
      </c>
      <c r="FY75" s="476">
        <f t="shared" si="77"/>
        <v>4033259.9799999995</v>
      </c>
      <c r="FZ75" s="476">
        <f t="shared" ref="FZ75:FZ76" si="117">+FX75-FY75</f>
        <v>1008314.9949999955</v>
      </c>
      <c r="GA75" s="493">
        <f t="shared" ref="GA75:GA76" si="118">+FX$29*FZ75+FY75</f>
        <v>4166492.7815752751</v>
      </c>
      <c r="GB75" s="492">
        <f>+GD74</f>
        <v>84001.124833333364</v>
      </c>
      <c r="GC75" s="476">
        <f t="shared" si="78"/>
        <v>53053.342000000004</v>
      </c>
      <c r="GD75" s="476">
        <f t="shared" ref="GD75:GD76" si="119">+GB75-GC75</f>
        <v>30947.78283333336</v>
      </c>
      <c r="GE75" s="493">
        <f t="shared" ref="GE75:GE76" si="120">+GB$29*GD75+GC75</f>
        <v>57142.599652494049</v>
      </c>
      <c r="GF75" s="492">
        <f>+GH74</f>
        <v>-85352.265500000023</v>
      </c>
      <c r="GG75" s="476">
        <f t="shared" si="79"/>
        <v>-53906.693999999974</v>
      </c>
      <c r="GH75" s="476">
        <f t="shared" si="30"/>
        <v>-31445.571500000049</v>
      </c>
      <c r="GI75" s="493">
        <f t="shared" si="51"/>
        <v>-58061.726513506001</v>
      </c>
      <c r="GJ75" s="492">
        <f>+GL74</f>
        <v>6100458.3768333383</v>
      </c>
      <c r="GK75" s="476">
        <f t="shared" si="80"/>
        <v>3327522.7509999997</v>
      </c>
      <c r="GL75" s="476">
        <f t="shared" si="31"/>
        <v>2772935.6258333386</v>
      </c>
      <c r="GM75" s="493">
        <f t="shared" si="52"/>
        <v>3693922.1240626485</v>
      </c>
      <c r="GN75" s="492">
        <f>+GP74</f>
        <v>95422.359749999945</v>
      </c>
      <c r="GO75" s="476">
        <f t="shared" si="81"/>
        <v>49785.578999999998</v>
      </c>
      <c r="GP75" s="476">
        <f t="shared" si="36"/>
        <v>45636.780749999947</v>
      </c>
      <c r="GQ75" s="493">
        <f t="shared" si="53"/>
        <v>55815.754276922395</v>
      </c>
      <c r="GR75" s="492">
        <f>+GT74</f>
        <v>439015.4774999998</v>
      </c>
      <c r="GS75" s="476">
        <f t="shared" si="82"/>
        <v>175606.19100000002</v>
      </c>
      <c r="GT75" s="476">
        <f t="shared" si="37"/>
        <v>263409.28649999981</v>
      </c>
      <c r="GU75" s="493">
        <f t="shared" si="54"/>
        <v>210411.54188277607</v>
      </c>
      <c r="GV75" s="492">
        <f>+GX74</f>
        <v>12596597.652416669</v>
      </c>
      <c r="GW75" s="476">
        <f t="shared" si="83"/>
        <v>3686809.0689999992</v>
      </c>
      <c r="GX75" s="476">
        <f t="shared" si="55"/>
        <v>8909788.5834166706</v>
      </c>
      <c r="GY75" s="493">
        <f t="shared" si="56"/>
        <v>4864096.028232431</v>
      </c>
      <c r="GZ75" s="492">
        <f>+HB74</f>
        <v>37464222.371333331</v>
      </c>
      <c r="HA75" s="476">
        <f t="shared" si="96"/>
        <v>8028047.6510000005</v>
      </c>
      <c r="HB75" s="476">
        <f t="shared" si="61"/>
        <v>29436174.72033333</v>
      </c>
      <c r="HC75" s="493">
        <f t="shared" si="66"/>
        <v>11917570.315144585</v>
      </c>
      <c r="HD75" s="576">
        <f>+HF74</f>
        <v>-270347.4250000001</v>
      </c>
      <c r="HE75" s="580">
        <f t="shared" si="97"/>
        <v>-53183.1</v>
      </c>
      <c r="HF75" s="580">
        <f t="shared" si="67"/>
        <v>-217164.3250000001</v>
      </c>
      <c r="HG75" s="918">
        <f t="shared" si="84"/>
        <v>-81877.91418547566</v>
      </c>
      <c r="HH75" s="576">
        <f>+HJ74</f>
        <v>692034.13333333342</v>
      </c>
      <c r="HI75" s="575">
        <f t="shared" si="98"/>
        <v>129756.4</v>
      </c>
      <c r="HJ75" s="575">
        <f t="shared" si="68"/>
        <v>562277.7333333334</v>
      </c>
      <c r="HK75" s="918">
        <f t="shared" si="85"/>
        <v>204052.46625595813</v>
      </c>
      <c r="HL75" s="576">
        <f>+HN74</f>
        <v>2677252.4916666672</v>
      </c>
      <c r="HM75" s="580">
        <f t="shared" si="104"/>
        <v>440096.3</v>
      </c>
      <c r="HN75" s="580">
        <f t="shared" si="86"/>
        <v>2237156.1916666673</v>
      </c>
      <c r="HO75" s="918">
        <f t="shared" si="99"/>
        <v>735700.93590767658</v>
      </c>
      <c r="HP75" s="576">
        <f>+HR74</f>
        <v>717823.12116666674</v>
      </c>
      <c r="HQ75" s="580">
        <f t="shared" si="111"/>
        <v>94657.993999999992</v>
      </c>
      <c r="HR75" s="580">
        <f t="shared" si="105"/>
        <v>623165.12716666679</v>
      </c>
      <c r="HS75" s="918">
        <f t="shared" si="108"/>
        <v>176999.36167590995</v>
      </c>
      <c r="HT75" s="576">
        <f>+HV74</f>
        <v>338169</v>
      </c>
      <c r="HU75" s="580">
        <f t="shared" ref="HU75:HU78" si="121">+HU74</f>
        <v>39019.5</v>
      </c>
      <c r="HV75" s="580">
        <f t="shared" ref="HV75:HV92" si="122">+HT75-HU75</f>
        <v>299149.5</v>
      </c>
      <c r="HW75" s="918">
        <f t="shared" ref="HW75:HW92" si="123">+HT$29*HV75+HU75</f>
        <v>78547.352082417055</v>
      </c>
      <c r="HY75" s="492"/>
      <c r="HZ75" s="476"/>
      <c r="IA75" s="476"/>
      <c r="IB75" s="493"/>
      <c r="IC75" s="492"/>
      <c r="ID75" s="476"/>
      <c r="IE75" s="476"/>
      <c r="IF75" s="493"/>
      <c r="IG75" s="492"/>
      <c r="IH75" s="476"/>
      <c r="II75" s="476"/>
      <c r="IJ75" s="493"/>
    </row>
    <row r="76" spans="1:244">
      <c r="A76" s="554" t="s">
        <v>23</v>
      </c>
      <c r="B76" s="574">
        <v>2024</v>
      </c>
      <c r="C76" s="575">
        <f>+C75</f>
        <v>12816519.542613633</v>
      </c>
      <c r="D76" s="575">
        <f>+D75</f>
        <v>445791.98409090913</v>
      </c>
      <c r="E76" s="575">
        <f t="shared" si="6"/>
        <v>12370727.558522724</v>
      </c>
      <c r="F76" s="558">
        <f>+C$29*E76+D76</f>
        <v>1918744.0275290848</v>
      </c>
      <c r="G76" s="575">
        <f>+G75</f>
        <v>3301461.362045452</v>
      </c>
      <c r="H76" s="575">
        <f>+H75</f>
        <v>115840.74954545456</v>
      </c>
      <c r="I76" s="575">
        <f t="shared" si="7"/>
        <v>3185620.6124999975</v>
      </c>
      <c r="J76" s="558">
        <f>+G$29*I76+H76</f>
        <v>495144.74509484658</v>
      </c>
      <c r="K76" s="576">
        <f>+K75</f>
        <v>8475398.371534083</v>
      </c>
      <c r="L76" s="575">
        <f>+L75</f>
        <v>305419.76113636367</v>
      </c>
      <c r="M76" s="575">
        <f t="shared" si="8"/>
        <v>8169978.6103977198</v>
      </c>
      <c r="N76" s="558">
        <f>+K$29*M76+L76</f>
        <v>1278198.9798283782</v>
      </c>
      <c r="O76" s="576">
        <f>+O75</f>
        <v>3559603.4924242403</v>
      </c>
      <c r="P76" s="575">
        <f>+P75</f>
        <v>119316.31818181818</v>
      </c>
      <c r="Q76" s="575">
        <f t="shared" si="11"/>
        <v>3440287.174242422</v>
      </c>
      <c r="R76" s="558">
        <f>+O$29*Q76+P76</f>
        <v>528942.83362661023</v>
      </c>
      <c r="S76" s="492">
        <f>+S75</f>
        <v>1642559.0369696948</v>
      </c>
      <c r="T76" s="476">
        <f>+T75</f>
        <v>58315.705454545445</v>
      </c>
      <c r="U76" s="476">
        <f t="shared" si="12"/>
        <v>1584243.3315151492</v>
      </c>
      <c r="V76" s="493">
        <f>+S$29*U76+T76</f>
        <v>246947.65466038533</v>
      </c>
      <c r="W76" s="492">
        <f>+W75</f>
        <v>20683259.473484851</v>
      </c>
      <c r="X76" s="476">
        <f>+X75</f>
        <v>693293.61363636365</v>
      </c>
      <c r="Y76" s="476">
        <f t="shared" si="13"/>
        <v>19989965.859848488</v>
      </c>
      <c r="Z76" s="493">
        <f>+W$29*Y76+X76</f>
        <v>3073449.5844335533</v>
      </c>
      <c r="AA76" s="492">
        <f>+AA75</f>
        <v>13487429.422348481</v>
      </c>
      <c r="AB76" s="476">
        <f>+AB75</f>
        <v>450833.29545454547</v>
      </c>
      <c r="AC76" s="476">
        <f t="shared" si="14"/>
        <v>13036596.126893936</v>
      </c>
      <c r="AD76" s="493">
        <f>+AA$29*AC76+AB76</f>
        <v>2003068.6683334312</v>
      </c>
      <c r="AE76" s="492">
        <f>+AE75</f>
        <v>135637.64772727288</v>
      </c>
      <c r="AF76" s="476">
        <f>+AF75</f>
        <v>4597.886363636364</v>
      </c>
      <c r="AG76" s="476">
        <f t="shared" si="15"/>
        <v>131039.76136363651</v>
      </c>
      <c r="AH76" s="493">
        <f>+AE$29*AG76+AF76</f>
        <v>20200.467809158767</v>
      </c>
      <c r="AI76" s="492">
        <f>+AI75</f>
        <v>9112712.4810606074</v>
      </c>
      <c r="AJ76" s="476">
        <f>+AJ75</f>
        <v>295547.43181818182</v>
      </c>
      <c r="AK76" s="476">
        <f t="shared" si="19"/>
        <v>8817165.0492424257</v>
      </c>
      <c r="AL76" s="493">
        <f>+AI$29*AK76+AJ76</f>
        <v>1345385.5448292322</v>
      </c>
      <c r="AM76" s="492">
        <f>+AM75</f>
        <v>3381440.928295454</v>
      </c>
      <c r="AN76" s="476">
        <f>+AN75</f>
        <v>110866.91568181818</v>
      </c>
      <c r="AO76" s="476">
        <f t="shared" si="16"/>
        <v>3270574.012613636</v>
      </c>
      <c r="AP76" s="493">
        <f>+AM$29*AO76+AN76</f>
        <v>500286.1032199139</v>
      </c>
      <c r="AQ76" s="492">
        <f>+AQ75</f>
        <v>27826666.296136368</v>
      </c>
      <c r="AR76" s="476">
        <f>+AR75</f>
        <v>904932.23727272719</v>
      </c>
      <c r="AS76" s="476">
        <f t="shared" si="17"/>
        <v>26921734.05886364</v>
      </c>
      <c r="AT76" s="493">
        <f>+AQ$29*AS76+AR76</f>
        <v>4110436.7645778088</v>
      </c>
      <c r="AU76" s="576">
        <f>+AU75</f>
        <v>17875000</v>
      </c>
      <c r="AV76" s="575">
        <f>+AV75</f>
        <v>750000</v>
      </c>
      <c r="AW76" s="575">
        <f t="shared" si="1"/>
        <v>17125000</v>
      </c>
      <c r="AX76" s="558">
        <f>+AU$29*AW76+AV76</f>
        <v>750000</v>
      </c>
      <c r="AY76" s="576">
        <f>+AY75</f>
        <v>11583333.333333332</v>
      </c>
      <c r="AZ76" s="575">
        <f>+AZ75</f>
        <v>500000</v>
      </c>
      <c r="BA76" s="575">
        <f t="shared" si="2"/>
        <v>11083333.333333332</v>
      </c>
      <c r="BB76" s="558">
        <f>+AY$29*BA76+AZ76</f>
        <v>500000</v>
      </c>
      <c r="BC76" s="576">
        <f>+BC75</f>
        <v>18250000</v>
      </c>
      <c r="BD76" s="575">
        <f>+BD75</f>
        <v>750000</v>
      </c>
      <c r="BE76" s="575">
        <f t="shared" si="4"/>
        <v>17500000</v>
      </c>
      <c r="BF76" s="558">
        <f>+BC$29*BE76+BD76</f>
        <v>750000</v>
      </c>
      <c r="BG76" s="576">
        <f>+BG75</f>
        <v>11380952.380952388</v>
      </c>
      <c r="BH76" s="575">
        <f>+BH75</f>
        <v>571428.57142857148</v>
      </c>
      <c r="BI76" s="575">
        <f t="shared" si="5"/>
        <v>10809523.809523817</v>
      </c>
      <c r="BJ76" s="558">
        <f>+BG$29*BI76+BH76</f>
        <v>571428.57142857148</v>
      </c>
      <c r="BK76" s="576">
        <f>+BK75</f>
        <v>12800000</v>
      </c>
      <c r="BL76" s="575">
        <f>+BL75</f>
        <v>1200000</v>
      </c>
      <c r="BM76" s="575">
        <f t="shared" si="9"/>
        <v>11600000</v>
      </c>
      <c r="BN76" s="558">
        <f>+BK$29*BM76+BL76</f>
        <v>1200000</v>
      </c>
      <c r="BO76" s="576">
        <f>+BO75</f>
        <v>10500000</v>
      </c>
      <c r="BP76" s="575">
        <f>+BP75</f>
        <v>666666.66666666663</v>
      </c>
      <c r="BQ76" s="575">
        <f t="shared" si="10"/>
        <v>9833333.333333334</v>
      </c>
      <c r="BR76" s="558">
        <f>+BO$29*BQ76+BP76</f>
        <v>666666.66666666663</v>
      </c>
      <c r="BS76" s="492">
        <f>+BS75</f>
        <v>257637.47727272741</v>
      </c>
      <c r="BT76" s="476">
        <f>+BT75</f>
        <v>8310.886363636364</v>
      </c>
      <c r="BU76" s="476">
        <f t="shared" si="18"/>
        <v>249326.59090909106</v>
      </c>
      <c r="BV76" s="493">
        <f>+BS$29*BU76+BT76</f>
        <v>37997.589091966045</v>
      </c>
      <c r="BW76" s="492">
        <f>+BW75</f>
        <v>18170498.659090918</v>
      </c>
      <c r="BX76" s="476">
        <f>+BX75</f>
        <v>576841.22727272729</v>
      </c>
      <c r="BY76" s="476">
        <f t="shared" si="20"/>
        <v>17593657.431818191</v>
      </c>
      <c r="BZ76" s="493">
        <f>+BW$29*BY76+BX76</f>
        <v>2556994.5238058502</v>
      </c>
      <c r="CA76" s="492">
        <f>+CA75</f>
        <v>1719204.6400000011</v>
      </c>
      <c r="CB76" s="476">
        <f>+CB75</f>
        <v>54433.919999999998</v>
      </c>
      <c r="CC76" s="476">
        <f t="shared" si="21"/>
        <v>1664770.7200000011</v>
      </c>
      <c r="CD76" s="493">
        <f>+CA$29*CC76+CB76</f>
        <v>252654.06689755811</v>
      </c>
      <c r="CE76" s="492">
        <f>+CE75</f>
        <v>147657.15909090918</v>
      </c>
      <c r="CF76" s="476">
        <f>+CF75</f>
        <v>4725.0290909090909</v>
      </c>
      <c r="CG76" s="476">
        <f t="shared" si="22"/>
        <v>142932.13000000009</v>
      </c>
      <c r="CH76" s="493">
        <f>+CE$29*CG76+CF76</f>
        <v>21743.605561896562</v>
      </c>
      <c r="CI76" s="492">
        <f>+CI75</f>
        <v>397667.72727272706</v>
      </c>
      <c r="CJ76" s="476">
        <f>+CJ75</f>
        <v>12362.727272727272</v>
      </c>
      <c r="CK76" s="476">
        <f t="shared" si="23"/>
        <v>385304.99999999977</v>
      </c>
      <c r="CL76" s="493">
        <f>+CI$29*CK76+CJ76</f>
        <v>55728.523661423191</v>
      </c>
      <c r="CM76" s="492">
        <f>+CM75</f>
        <v>17775668.095738638</v>
      </c>
      <c r="CN76" s="476">
        <f>+CN75</f>
        <v>483691.64886363636</v>
      </c>
      <c r="CO76" s="476">
        <f t="shared" si="33"/>
        <v>17291976.446875002</v>
      </c>
      <c r="CP76" s="493">
        <f>+CM$29*CO76+CN76</f>
        <v>2429890.9708379353</v>
      </c>
      <c r="CQ76" s="492">
        <f>+CQ75</f>
        <v>74151796.688693151</v>
      </c>
      <c r="CR76" s="476">
        <f>+CR75</f>
        <v>2017735.9643181816</v>
      </c>
      <c r="CS76" s="476">
        <f t="shared" si="38"/>
        <v>72134060.724374965</v>
      </c>
      <c r="CT76" s="493">
        <f>+CQ$29*CS76+CR76</f>
        <v>10136371.824385073</v>
      </c>
      <c r="CU76" s="492">
        <f>+CU75</f>
        <v>25019228.78250001</v>
      </c>
      <c r="CV76" s="476">
        <f>+CV75</f>
        <v>676195.37250000006</v>
      </c>
      <c r="CW76" s="476">
        <f t="shared" si="39"/>
        <v>24343033.410000011</v>
      </c>
      <c r="CX76" s="493">
        <f>+CU$29*CW76+CV76</f>
        <v>3415986.0067800721</v>
      </c>
      <c r="CY76" s="492">
        <f>+CY75</f>
        <v>27514.644886363683</v>
      </c>
      <c r="CZ76" s="476">
        <f>+CZ75</f>
        <v>733.72386363636497</v>
      </c>
      <c r="DA76" s="476">
        <f t="shared" si="40"/>
        <v>26780.921022727318</v>
      </c>
      <c r="DB76" s="493">
        <f>+CY$29*DA76+CZ76</f>
        <v>3747.8969685100096</v>
      </c>
      <c r="DC76" s="492">
        <f>+DC75</f>
        <v>1658767.5590909095</v>
      </c>
      <c r="DD76" s="476">
        <f>+DD75</f>
        <v>44530.672727272722</v>
      </c>
      <c r="DE76" s="476">
        <f t="shared" si="41"/>
        <v>1614236.8863636369</v>
      </c>
      <c r="DF76" s="493">
        <f>+DC$29*DE76+DD76</f>
        <v>226211.8555231565</v>
      </c>
      <c r="DG76" s="492">
        <f>+DG75</f>
        <v>923980.28693181789</v>
      </c>
      <c r="DH76" s="476">
        <f>+DH75</f>
        <v>24639.474318181816</v>
      </c>
      <c r="DI76" s="476">
        <f t="shared" si="42"/>
        <v>899340.81261363602</v>
      </c>
      <c r="DJ76" s="493">
        <f>+DG$29*DI76+DH76</f>
        <v>125859.62605212582</v>
      </c>
      <c r="DK76" s="492">
        <f>+DK75</f>
        <v>20428985.729431819</v>
      </c>
      <c r="DL76" s="476">
        <f>+DL75</f>
        <v>549658.80886363634</v>
      </c>
      <c r="DM76" s="476">
        <f t="shared" si="43"/>
        <v>19879326.920568183</v>
      </c>
      <c r="DN76" s="493">
        <f>+DK$29*DM76+DL76</f>
        <v>2787062.5372909391</v>
      </c>
      <c r="DO76" s="492">
        <f>+DO75</f>
        <v>747788.19746212079</v>
      </c>
      <c r="DP76" s="476">
        <f t="shared" si="87"/>
        <v>19592.703863636354</v>
      </c>
      <c r="DQ76" s="476">
        <f t="shared" si="57"/>
        <v>728195.49359848443</v>
      </c>
      <c r="DR76" s="493">
        <f t="shared" si="62"/>
        <v>101550.57491788641</v>
      </c>
      <c r="DS76" s="492">
        <f>+DS75</f>
        <v>319386.47999999888</v>
      </c>
      <c r="DT76" s="476">
        <f t="shared" si="88"/>
        <v>8295.7527272726966</v>
      </c>
      <c r="DU76" s="476">
        <f t="shared" si="58"/>
        <v>311090.72727272619</v>
      </c>
      <c r="DV76" s="493">
        <f t="shared" si="63"/>
        <v>43308.786914008873</v>
      </c>
      <c r="DW76" s="492">
        <f>+DW75</f>
        <v>46732.450397727254</v>
      </c>
      <c r="DX76" s="476">
        <f t="shared" si="89"/>
        <v>1221.7634090909089</v>
      </c>
      <c r="DY76" s="476">
        <f t="shared" si="59"/>
        <v>45510.686988636342</v>
      </c>
      <c r="DZ76" s="493">
        <f t="shared" si="64"/>
        <v>6343.9579963889646</v>
      </c>
      <c r="EA76" s="492">
        <f>+EA75</f>
        <v>-277098.40357954724</v>
      </c>
      <c r="EB76" s="476">
        <f t="shared" si="90"/>
        <v>-7120.3015909091364</v>
      </c>
      <c r="EC76" s="476">
        <f t="shared" si="60"/>
        <v>-269978.10198863811</v>
      </c>
      <c r="ED76" s="493">
        <f t="shared" si="65"/>
        <v>-37506.139823597179</v>
      </c>
      <c r="EE76" s="576">
        <f>+EE75</f>
        <v>7780024.1068181843</v>
      </c>
      <c r="EF76" s="580">
        <f t="shared" si="100"/>
        <v>192495.44181818186</v>
      </c>
      <c r="EG76" s="580">
        <f t="shared" si="69"/>
        <v>7587528.6650000028</v>
      </c>
      <c r="EH76" s="493">
        <f t="shared" si="91"/>
        <v>1046466.2524222075</v>
      </c>
      <c r="EI76" s="576">
        <f>+EI75</f>
        <v>314261.56496212119</v>
      </c>
      <c r="EJ76" s="580">
        <f t="shared" si="101"/>
        <v>7696.2015909090906</v>
      </c>
      <c r="EK76" s="580">
        <f t="shared" si="70"/>
        <v>306565.36337121209</v>
      </c>
      <c r="EL76" s="493">
        <f t="shared" si="92"/>
        <v>42199.90937508674</v>
      </c>
      <c r="EM76" s="576">
        <f>+EM75</f>
        <v>10712334.81340909</v>
      </c>
      <c r="EN76" s="580">
        <f t="shared" si="102"/>
        <v>261276.45886363636</v>
      </c>
      <c r="EO76" s="580">
        <f t="shared" si="71"/>
        <v>10451058.354545454</v>
      </c>
      <c r="EP76" s="493">
        <f t="shared" si="93"/>
        <v>1437535.4449904654</v>
      </c>
      <c r="EQ76" s="576">
        <f>+EQ75</f>
        <v>20774070.24522727</v>
      </c>
      <c r="ER76" s="580">
        <f t="shared" si="109"/>
        <v>500580.00590909086</v>
      </c>
      <c r="ES76" s="580">
        <f t="shared" si="94"/>
        <v>20273490.239318177</v>
      </c>
      <c r="ET76" s="493">
        <f t="shared" si="106"/>
        <v>2782346.5280317902</v>
      </c>
      <c r="EU76" s="576">
        <f>+EU75</f>
        <v>26842850.53136364</v>
      </c>
      <c r="EV76" s="580">
        <f t="shared" si="110"/>
        <v>646815.67545454553</v>
      </c>
      <c r="EW76" s="580">
        <f t="shared" si="95"/>
        <v>26196034.855909094</v>
      </c>
      <c r="EX76" s="493">
        <f t="shared" si="107"/>
        <v>3595160.2693542764</v>
      </c>
      <c r="EY76" s="582">
        <f t="shared" si="103"/>
        <v>46588459.984977417</v>
      </c>
      <c r="EZ76" s="579">
        <f>+EY76</f>
        <v>46588459.984977417</v>
      </c>
      <c r="FA76" s="553"/>
      <c r="FD76" s="492">
        <f>+FD75</f>
        <v>211785.43333333544</v>
      </c>
      <c r="FE76" s="476">
        <f>+FE75</f>
        <v>211785.43333333335</v>
      </c>
      <c r="FF76" s="476">
        <f t="shared" si="24"/>
        <v>2.0954757928848267E-9</v>
      </c>
      <c r="FG76" s="493">
        <f t="shared" si="44"/>
        <v>211785.43333333364</v>
      </c>
      <c r="FH76" s="492">
        <f>+FH75</f>
        <v>894404.39999999839</v>
      </c>
      <c r="FI76" s="476">
        <f>+FI75</f>
        <v>894404.39999999991</v>
      </c>
      <c r="FJ76" s="476">
        <f t="shared" si="25"/>
        <v>-1.5133991837501526E-9</v>
      </c>
      <c r="FK76" s="493">
        <f t="shared" si="45"/>
        <v>894404.39999999967</v>
      </c>
      <c r="FL76" s="492">
        <f>+FL75</f>
        <v>128753.7084166664</v>
      </c>
      <c r="FM76" s="476">
        <f>+FM75</f>
        <v>128753.70841666666</v>
      </c>
      <c r="FN76" s="476">
        <f t="shared" si="26"/>
        <v>-2.6193447411060333E-10</v>
      </c>
      <c r="FO76" s="493">
        <f t="shared" si="46"/>
        <v>128753.70841666663</v>
      </c>
      <c r="FP76" s="492">
        <f>+FP75</f>
        <v>16960.300000000007</v>
      </c>
      <c r="FQ76" s="476">
        <f>+FQ75</f>
        <v>16960.3</v>
      </c>
      <c r="FR76" s="476">
        <f t="shared" si="27"/>
        <v>0</v>
      </c>
      <c r="FS76" s="493">
        <f t="shared" si="47"/>
        <v>16960.3</v>
      </c>
      <c r="FT76" s="492">
        <f>+FT75</f>
        <v>1462.7503333333334</v>
      </c>
      <c r="FU76" s="476">
        <f t="shared" si="76"/>
        <v>1253.7860000000001</v>
      </c>
      <c r="FV76" s="476">
        <f t="shared" si="115"/>
        <v>208.96433333333334</v>
      </c>
      <c r="FW76" s="493">
        <f t="shared" si="116"/>
        <v>1281.3973156080854</v>
      </c>
      <c r="FX76" s="492">
        <f>+FX75</f>
        <v>5041574.974999995</v>
      </c>
      <c r="FY76" s="476">
        <f t="shared" si="77"/>
        <v>4033259.9799999995</v>
      </c>
      <c r="FZ76" s="476">
        <f t="shared" si="117"/>
        <v>1008314.9949999955</v>
      </c>
      <c r="GA76" s="493">
        <f t="shared" si="118"/>
        <v>4166492.7815752751</v>
      </c>
      <c r="GB76" s="492">
        <f>+GB75</f>
        <v>84001.124833333364</v>
      </c>
      <c r="GC76" s="476">
        <f t="shared" si="78"/>
        <v>53053.342000000004</v>
      </c>
      <c r="GD76" s="476">
        <f t="shared" si="119"/>
        <v>30947.78283333336</v>
      </c>
      <c r="GE76" s="493">
        <f t="shared" si="120"/>
        <v>57142.599652494049</v>
      </c>
      <c r="GF76" s="492">
        <f>+GF75</f>
        <v>-85352.265500000023</v>
      </c>
      <c r="GG76" s="476">
        <f t="shared" si="79"/>
        <v>-53906.693999999974</v>
      </c>
      <c r="GH76" s="476">
        <f t="shared" si="30"/>
        <v>-31445.571500000049</v>
      </c>
      <c r="GI76" s="493">
        <f t="shared" si="51"/>
        <v>-58061.726513506001</v>
      </c>
      <c r="GJ76" s="492">
        <f>+GJ75</f>
        <v>6100458.3768333383</v>
      </c>
      <c r="GK76" s="476">
        <f t="shared" si="80"/>
        <v>3327522.7509999997</v>
      </c>
      <c r="GL76" s="476">
        <f t="shared" si="31"/>
        <v>2772935.6258333386</v>
      </c>
      <c r="GM76" s="493">
        <f t="shared" si="52"/>
        <v>3693922.1240626485</v>
      </c>
      <c r="GN76" s="492">
        <f>+GN75</f>
        <v>95422.359749999945</v>
      </c>
      <c r="GO76" s="476">
        <f t="shared" si="81"/>
        <v>49785.578999999998</v>
      </c>
      <c r="GP76" s="476">
        <f t="shared" si="36"/>
        <v>45636.780749999947</v>
      </c>
      <c r="GQ76" s="493">
        <f t="shared" si="53"/>
        <v>55815.754276922395</v>
      </c>
      <c r="GR76" s="492">
        <f>+GR75</f>
        <v>439015.4774999998</v>
      </c>
      <c r="GS76" s="476">
        <f t="shared" si="82"/>
        <v>175606.19100000002</v>
      </c>
      <c r="GT76" s="476">
        <f t="shared" si="37"/>
        <v>263409.28649999981</v>
      </c>
      <c r="GU76" s="493">
        <f t="shared" si="54"/>
        <v>210411.54188277607</v>
      </c>
      <c r="GV76" s="492">
        <f>+GV75</f>
        <v>12596597.652416669</v>
      </c>
      <c r="GW76" s="476">
        <f t="shared" si="83"/>
        <v>3686809.0689999992</v>
      </c>
      <c r="GX76" s="476">
        <f t="shared" si="55"/>
        <v>8909788.5834166706</v>
      </c>
      <c r="GY76" s="493">
        <f t="shared" si="56"/>
        <v>4864096.028232431</v>
      </c>
      <c r="GZ76" s="492">
        <f>+GZ75</f>
        <v>37464222.371333331</v>
      </c>
      <c r="HA76" s="476">
        <f t="shared" si="96"/>
        <v>8028047.6510000005</v>
      </c>
      <c r="HB76" s="476">
        <f t="shared" si="61"/>
        <v>29436174.72033333</v>
      </c>
      <c r="HC76" s="493">
        <f t="shared" si="66"/>
        <v>11917570.315144585</v>
      </c>
      <c r="HD76" s="576">
        <f>+HD75</f>
        <v>-270347.4250000001</v>
      </c>
      <c r="HE76" s="580">
        <f t="shared" si="97"/>
        <v>-53183.1</v>
      </c>
      <c r="HF76" s="580">
        <f t="shared" si="67"/>
        <v>-217164.3250000001</v>
      </c>
      <c r="HG76" s="918">
        <f t="shared" si="84"/>
        <v>-81877.91418547566</v>
      </c>
      <c r="HH76" s="576">
        <f>+HH75</f>
        <v>692034.13333333342</v>
      </c>
      <c r="HI76" s="575">
        <f t="shared" si="98"/>
        <v>129756.4</v>
      </c>
      <c r="HJ76" s="575">
        <f t="shared" si="68"/>
        <v>562277.7333333334</v>
      </c>
      <c r="HK76" s="918">
        <f t="shared" si="85"/>
        <v>204052.46625595813</v>
      </c>
      <c r="HL76" s="576">
        <f>+HL75</f>
        <v>2677252.4916666672</v>
      </c>
      <c r="HM76" s="580">
        <f t="shared" si="104"/>
        <v>440096.3</v>
      </c>
      <c r="HN76" s="580">
        <f t="shared" si="86"/>
        <v>2237156.1916666673</v>
      </c>
      <c r="HO76" s="918">
        <f t="shared" si="99"/>
        <v>735700.93590767658</v>
      </c>
      <c r="HP76" s="576">
        <f>+HP75</f>
        <v>717823.12116666674</v>
      </c>
      <c r="HQ76" s="580">
        <f t="shared" si="111"/>
        <v>94657.993999999992</v>
      </c>
      <c r="HR76" s="580">
        <f t="shared" si="105"/>
        <v>623165.12716666679</v>
      </c>
      <c r="HS76" s="918">
        <f t="shared" si="108"/>
        <v>176999.36167590995</v>
      </c>
      <c r="HT76" s="576">
        <f>+HT75</f>
        <v>338169</v>
      </c>
      <c r="HU76" s="580">
        <f t="shared" si="121"/>
        <v>39019.5</v>
      </c>
      <c r="HV76" s="580">
        <f t="shared" si="122"/>
        <v>299149.5</v>
      </c>
      <c r="HW76" s="918">
        <f t="shared" si="123"/>
        <v>78547.352082417055</v>
      </c>
      <c r="HY76" s="492"/>
      <c r="HZ76" s="476"/>
      <c r="IA76" s="476"/>
      <c r="IB76" s="493"/>
      <c r="IC76" s="492"/>
      <c r="ID76" s="476"/>
      <c r="IE76" s="476"/>
      <c r="IF76" s="493"/>
      <c r="IG76" s="492"/>
      <c r="IH76" s="476"/>
      <c r="II76" s="476"/>
      <c r="IJ76" s="493"/>
    </row>
    <row r="77" spans="1:244">
      <c r="A77" s="554" t="s">
        <v>24</v>
      </c>
      <c r="B77" s="574">
        <v>2025</v>
      </c>
      <c r="C77" s="575">
        <f>+E76</f>
        <v>12370727.558522724</v>
      </c>
      <c r="D77" s="575">
        <f>+C$31</f>
        <v>445791.98409090913</v>
      </c>
      <c r="E77" s="575">
        <f t="shared" si="6"/>
        <v>11924935.574431814</v>
      </c>
      <c r="F77" s="558">
        <f>+C$28*E77+D77</f>
        <v>1787934.7750464559</v>
      </c>
      <c r="G77" s="575">
        <f>+I76</f>
        <v>3185620.6124999975</v>
      </c>
      <c r="H77" s="575">
        <f>+G$31</f>
        <v>115840.74954545456</v>
      </c>
      <c r="I77" s="575">
        <f t="shared" si="7"/>
        <v>3069779.862954543</v>
      </c>
      <c r="J77" s="558">
        <f>+G$28*I77+H77</f>
        <v>461342.2314753689</v>
      </c>
      <c r="K77" s="576">
        <f>+M76</f>
        <v>8169978.6103977198</v>
      </c>
      <c r="L77" s="575">
        <f>+K$31</f>
        <v>305419.76113636367</v>
      </c>
      <c r="M77" s="575">
        <f t="shared" si="8"/>
        <v>7864558.8492613565</v>
      </c>
      <c r="N77" s="558">
        <f>+K$28*M77+L77</f>
        <v>1190570.1166832289</v>
      </c>
      <c r="O77" s="576">
        <f>+Q76</f>
        <v>3440287.174242422</v>
      </c>
      <c r="P77" s="575">
        <f>+O$31</f>
        <v>119316.31818181818</v>
      </c>
      <c r="Q77" s="575">
        <f t="shared" si="11"/>
        <v>3320970.8560606036</v>
      </c>
      <c r="R77" s="558">
        <f>+O$28*Q77+P77</f>
        <v>493089.16295859864</v>
      </c>
      <c r="S77" s="492">
        <f>+U76</f>
        <v>1584243.3315151492</v>
      </c>
      <c r="T77" s="476">
        <f>+S$31</f>
        <v>58315.705454545445</v>
      </c>
      <c r="U77" s="476">
        <f t="shared" si="12"/>
        <v>1525927.6260606037</v>
      </c>
      <c r="V77" s="493">
        <f>+S$28*U77+T77</f>
        <v>230057.74548940174</v>
      </c>
      <c r="W77" s="492">
        <f>+Y76</f>
        <v>19989965.859848488</v>
      </c>
      <c r="X77" s="476">
        <f>+W$31</f>
        <v>693293.61363636365</v>
      </c>
      <c r="Y77" s="476">
        <f t="shared" si="13"/>
        <v>19296672.246212125</v>
      </c>
      <c r="Z77" s="493">
        <f>+W$28*Y77+X77</f>
        <v>2865119.9839368658</v>
      </c>
      <c r="AA77" s="492">
        <f>+AC76</f>
        <v>13036596.126893936</v>
      </c>
      <c r="AB77" s="476">
        <f>+AA$31</f>
        <v>450833.29545454547</v>
      </c>
      <c r="AC77" s="476">
        <f t="shared" si="14"/>
        <v>12585762.831439391</v>
      </c>
      <c r="AD77" s="493">
        <f>+AA$28*AC77+AB77</f>
        <v>1867351.7116303488</v>
      </c>
      <c r="AE77" s="492">
        <f>+AG76</f>
        <v>131039.76136363651</v>
      </c>
      <c r="AF77" s="476">
        <f>+AE$31</f>
        <v>4597.886363636364</v>
      </c>
      <c r="AG77" s="476">
        <f t="shared" si="15"/>
        <v>126441.87500000015</v>
      </c>
      <c r="AH77" s="493">
        <f>+AE$28*AG77+AF77</f>
        <v>18828.827063224875</v>
      </c>
      <c r="AI77" s="492">
        <f>+AK76</f>
        <v>8817165.0492424257</v>
      </c>
      <c r="AJ77" s="476">
        <f>+AI$31</f>
        <v>295547.43181818182</v>
      </c>
      <c r="AK77" s="476">
        <f t="shared" si="19"/>
        <v>8521617.6174242441</v>
      </c>
      <c r="AL77" s="493">
        <f>+AI$28*AK77+AJ77</f>
        <v>1254649.2719176977</v>
      </c>
      <c r="AM77" s="492">
        <f>+AO76</f>
        <v>3270574.012613636</v>
      </c>
      <c r="AN77" s="476">
        <f>+AM$31</f>
        <v>110866.91568181818</v>
      </c>
      <c r="AO77" s="476">
        <f t="shared" si="16"/>
        <v>3159707.0969318179</v>
      </c>
      <c r="AP77" s="493">
        <f>+AM$28*AO77+AN77</f>
        <v>466489.64212830283</v>
      </c>
      <c r="AQ77" s="492">
        <f>+AS76</f>
        <v>26921734.05886364</v>
      </c>
      <c r="AR77" s="476">
        <f>+AQ$31</f>
        <v>904932.23727272719</v>
      </c>
      <c r="AS77" s="476">
        <f t="shared" si="17"/>
        <v>26016801.821590912</v>
      </c>
      <c r="AT77" s="493">
        <f>+AQ$28*AS77+AR77</f>
        <v>3833104.2840413009</v>
      </c>
      <c r="AU77" s="575"/>
      <c r="AV77" s="575"/>
      <c r="AW77" s="575"/>
      <c r="AX77" s="558"/>
      <c r="AY77" s="575"/>
      <c r="AZ77" s="575"/>
      <c r="BA77" s="575"/>
      <c r="BB77" s="558"/>
      <c r="BC77" s="575"/>
      <c r="BD77" s="575"/>
      <c r="BE77" s="575"/>
      <c r="BF77" s="558"/>
      <c r="BG77" s="575"/>
      <c r="BH77" s="575"/>
      <c r="BI77" s="575"/>
      <c r="BJ77" s="558"/>
      <c r="BK77" s="575"/>
      <c r="BL77" s="575"/>
      <c r="BM77" s="575"/>
      <c r="BN77" s="558"/>
      <c r="BO77" s="575"/>
      <c r="BP77" s="575"/>
      <c r="BQ77" s="575"/>
      <c r="BR77" s="558"/>
      <c r="BS77" s="492">
        <f>+BU76</f>
        <v>249326.59090909106</v>
      </c>
      <c r="BT77" s="476">
        <f>+BS$31</f>
        <v>8310.886363636364</v>
      </c>
      <c r="BU77" s="476">
        <f t="shared" si="18"/>
        <v>241015.7045454547</v>
      </c>
      <c r="BV77" s="493">
        <f>+BS$28*BU77+BT77</f>
        <v>35437.027913308149</v>
      </c>
      <c r="BW77" s="492">
        <f>+BY76</f>
        <v>17593657.431818191</v>
      </c>
      <c r="BX77" s="476">
        <f>+BW$31</f>
        <v>576841.22727272729</v>
      </c>
      <c r="BY77" s="476">
        <f t="shared" si="20"/>
        <v>17016816.204545464</v>
      </c>
      <c r="BZ77" s="493">
        <f>+BW$28*BY77+BX77</f>
        <v>2492071.4649031246</v>
      </c>
      <c r="CA77" s="492">
        <f>+CC76</f>
        <v>1664770.7200000011</v>
      </c>
      <c r="CB77" s="476">
        <f>+CA$31</f>
        <v>54433.919999999998</v>
      </c>
      <c r="CC77" s="476">
        <f t="shared" si="21"/>
        <v>1610336.8000000012</v>
      </c>
      <c r="CD77" s="493">
        <f>+CA$28*CC77+CB77</f>
        <v>235676.15092361695</v>
      </c>
      <c r="CE77" s="492">
        <f>+CG76</f>
        <v>142932.13000000009</v>
      </c>
      <c r="CF77" s="476">
        <f>+CE$31</f>
        <v>4725.0290909090909</v>
      </c>
      <c r="CG77" s="476">
        <f t="shared" si="22"/>
        <v>138207.10090909101</v>
      </c>
      <c r="CH77" s="493">
        <f>+CE$28*CG77+CF77</f>
        <v>20280.137375243823</v>
      </c>
      <c r="CI77" s="492">
        <f>+CK76</f>
        <v>385304.99999999977</v>
      </c>
      <c r="CJ77" s="476">
        <f>+CI$31</f>
        <v>12362.727272727272</v>
      </c>
      <c r="CK77" s="476">
        <f t="shared" si="23"/>
        <v>372942.27272727247</v>
      </c>
      <c r="CL77" s="493">
        <f>+CI$28*CK77+CJ77</f>
        <v>54337.107734513156</v>
      </c>
      <c r="CM77" s="492">
        <f>+CO76</f>
        <v>17291976.446875002</v>
      </c>
      <c r="CN77" s="476">
        <f>+CM$31</f>
        <v>483691.64886363636</v>
      </c>
      <c r="CO77" s="476">
        <f t="shared" si="33"/>
        <v>16808284.798011366</v>
      </c>
      <c r="CP77" s="493">
        <f>+CM$28*CO77+CN77</f>
        <v>2375451.8289645286</v>
      </c>
      <c r="CQ77" s="492">
        <f>+CS76</f>
        <v>72134060.724374965</v>
      </c>
      <c r="CR77" s="476">
        <f>+CQ$31</f>
        <v>2017735.9643181816</v>
      </c>
      <c r="CS77" s="476">
        <f t="shared" si="38"/>
        <v>70116324.760056779</v>
      </c>
      <c r="CT77" s="493">
        <f>+CQ$28*CS77+CR77</f>
        <v>9909277.1150125731</v>
      </c>
      <c r="CU77" s="492">
        <f>+CW76</f>
        <v>24343033.410000011</v>
      </c>
      <c r="CV77" s="476">
        <f>+CU$31</f>
        <v>676195.37250000006</v>
      </c>
      <c r="CW77" s="476">
        <f t="shared" si="39"/>
        <v>23666838.037500013</v>
      </c>
      <c r="CX77" s="493">
        <f>+CU$28*CW77+CV77</f>
        <v>3339880.7113834037</v>
      </c>
      <c r="CY77" s="492">
        <f>+DA76</f>
        <v>26780.921022727318</v>
      </c>
      <c r="CZ77" s="476">
        <f>+CY$31</f>
        <v>733.72386363636497</v>
      </c>
      <c r="DA77" s="476">
        <f t="shared" si="40"/>
        <v>26047.197159090952</v>
      </c>
      <c r="DB77" s="493">
        <f>+CY$28*DA77+CZ77</f>
        <v>3665.316883444978</v>
      </c>
      <c r="DC77" s="492">
        <f>+DE76</f>
        <v>1614236.8863636369</v>
      </c>
      <c r="DD77" s="476">
        <f>+DC$31</f>
        <v>44530.672727272722</v>
      </c>
      <c r="DE77" s="476">
        <f t="shared" si="41"/>
        <v>1569706.2136363643</v>
      </c>
      <c r="DF77" s="493">
        <f>+DC$28*DE77+DD77</f>
        <v>221199.96082533902</v>
      </c>
      <c r="DG77" s="492">
        <f>+DI76</f>
        <v>899340.81261363602</v>
      </c>
      <c r="DH77" s="476">
        <f>+DG$31</f>
        <v>24639.474318181816</v>
      </c>
      <c r="DI77" s="476">
        <f t="shared" si="42"/>
        <v>874701.33829545416</v>
      </c>
      <c r="DJ77" s="493">
        <f>+DG$28*DI77+DH77</f>
        <v>123086.47121009995</v>
      </c>
      <c r="DK77" s="492">
        <f>+DM76</f>
        <v>19879326.920568183</v>
      </c>
      <c r="DL77" s="476">
        <f>+DK$31</f>
        <v>549658.80886363634</v>
      </c>
      <c r="DM77" s="476">
        <f t="shared" si="43"/>
        <v>19329668.111704547</v>
      </c>
      <c r="DN77" s="493">
        <f>+DK$28*DM77+DL77</f>
        <v>2725198.8397307368</v>
      </c>
      <c r="DO77" s="492">
        <f>+DQ76</f>
        <v>728195.49359848443</v>
      </c>
      <c r="DP77" s="476">
        <f t="shared" si="87"/>
        <v>19592.703863636354</v>
      </c>
      <c r="DQ77" s="476">
        <f t="shared" si="57"/>
        <v>708602.78973484808</v>
      </c>
      <c r="DR77" s="493">
        <f t="shared" si="62"/>
        <v>99345.430405216001</v>
      </c>
      <c r="DS77" s="492">
        <f>+DU76</f>
        <v>311090.72727272619</v>
      </c>
      <c r="DT77" s="476">
        <f t="shared" si="88"/>
        <v>8295.7527272726966</v>
      </c>
      <c r="DU77" s="476">
        <f t="shared" si="58"/>
        <v>302794.9745454535</v>
      </c>
      <c r="DV77" s="493">
        <f t="shared" si="63"/>
        <v>42375.106002362576</v>
      </c>
      <c r="DW77" s="492">
        <f>+DY76</f>
        <v>45510.686988636342</v>
      </c>
      <c r="DX77" s="476">
        <f t="shared" si="89"/>
        <v>1221.7634090909089</v>
      </c>
      <c r="DY77" s="476">
        <f t="shared" si="59"/>
        <v>44288.92357954543</v>
      </c>
      <c r="DZ77" s="493">
        <f t="shared" si="64"/>
        <v>6206.4494168641841</v>
      </c>
      <c r="EA77" s="492">
        <f>+EC76</f>
        <v>-269978.10198863811</v>
      </c>
      <c r="EB77" s="476">
        <f t="shared" si="90"/>
        <v>-7120.3015909091364</v>
      </c>
      <c r="EC77" s="476">
        <f t="shared" si="60"/>
        <v>-262857.80039772898</v>
      </c>
      <c r="ED77" s="493">
        <f t="shared" si="65"/>
        <v>-36704.755078998816</v>
      </c>
      <c r="EE77" s="576">
        <f>+EG76</f>
        <v>7587528.6650000028</v>
      </c>
      <c r="EF77" s="580">
        <f t="shared" si="100"/>
        <v>192495.44181818186</v>
      </c>
      <c r="EG77" s="580">
        <f t="shared" si="69"/>
        <v>7395033.2231818214</v>
      </c>
      <c r="EH77" s="493">
        <f t="shared" si="91"/>
        <v>1024801.0310115346</v>
      </c>
      <c r="EI77" s="576">
        <f>+EK76</f>
        <v>306565.36337121209</v>
      </c>
      <c r="EJ77" s="580">
        <f t="shared" si="101"/>
        <v>7696.2015909090906</v>
      </c>
      <c r="EK77" s="580">
        <f t="shared" si="70"/>
        <v>298869.16178030299</v>
      </c>
      <c r="EL77" s="493">
        <f t="shared" si="92"/>
        <v>41333.707506027888</v>
      </c>
      <c r="EM77" s="576">
        <f>+EO76</f>
        <v>10451058.354545454</v>
      </c>
      <c r="EN77" s="580">
        <f t="shared" si="102"/>
        <v>261276.45886363636</v>
      </c>
      <c r="EO77" s="580">
        <f t="shared" si="71"/>
        <v>10189781.895681817</v>
      </c>
      <c r="EP77" s="493">
        <f t="shared" si="93"/>
        <v>1408128.9703372945</v>
      </c>
      <c r="EQ77" s="576">
        <f>+ES76</f>
        <v>20273490.239318177</v>
      </c>
      <c r="ER77" s="580">
        <f t="shared" si="109"/>
        <v>500580.00590909086</v>
      </c>
      <c r="ES77" s="580">
        <f t="shared" si="94"/>
        <v>19772910.233409084</v>
      </c>
      <c r="ET77" s="493">
        <f t="shared" si="106"/>
        <v>2726006.6139053036</v>
      </c>
      <c r="EU77" s="576">
        <f>+EW76</f>
        <v>26196034.855909094</v>
      </c>
      <c r="EV77" s="580">
        <f t="shared" si="110"/>
        <v>646815.67545454553</v>
      </c>
      <c r="EW77" s="580">
        <f t="shared" si="95"/>
        <v>25549219.180454548</v>
      </c>
      <c r="EX77" s="493">
        <f t="shared" si="107"/>
        <v>3522361.637406135</v>
      </c>
      <c r="EY77" s="582">
        <f t="shared" si="103"/>
        <v>44837954.07614246</v>
      </c>
      <c r="EZ77" s="557"/>
      <c r="FA77" s="578">
        <f>+EY77</f>
        <v>44837954.07614246</v>
      </c>
      <c r="FD77" s="492"/>
      <c r="FE77" s="476"/>
      <c r="FF77" s="476"/>
      <c r="FG77" s="493"/>
      <c r="FH77" s="492"/>
      <c r="FI77" s="476"/>
      <c r="FJ77" s="476"/>
      <c r="FK77" s="493"/>
      <c r="FL77" s="492"/>
      <c r="FM77" s="476"/>
      <c r="FN77" s="476"/>
      <c r="FO77" s="493"/>
      <c r="FP77" s="492"/>
      <c r="FQ77" s="476"/>
      <c r="FR77" s="476"/>
      <c r="FS77" s="493"/>
      <c r="FT77" s="492">
        <f>+FV76</f>
        <v>208.96433333333334</v>
      </c>
      <c r="FU77" s="476">
        <f>+FT$31/12*(12-10)</f>
        <v>208.96433333333334</v>
      </c>
      <c r="FV77" s="476">
        <f t="shared" ref="FV77:FV78" si="124">+FT77-FU77</f>
        <v>0</v>
      </c>
      <c r="FW77" s="493">
        <f t="shared" ref="FW77:FW78" si="125">+FT$29*FV77+FU77</f>
        <v>208.96433333333334</v>
      </c>
      <c r="FX77" s="492">
        <f>+FZ76</f>
        <v>1008314.9949999955</v>
      </c>
      <c r="FY77" s="476">
        <f>+FX$31/12*(12-9)</f>
        <v>1008314.9949999999</v>
      </c>
      <c r="FZ77" s="476">
        <f>+FX77-FY77</f>
        <v>-4.4237822294235229E-9</v>
      </c>
      <c r="GA77" s="493">
        <f>+FX$29*FZ77+FY77</f>
        <v>1008314.9949999993</v>
      </c>
      <c r="GB77" s="492">
        <f>+GD76</f>
        <v>30947.78283333336</v>
      </c>
      <c r="GC77" s="476">
        <f>+GB$31/12*(12-5)</f>
        <v>30947.782833333335</v>
      </c>
      <c r="GD77" s="476">
        <f>+GB77-GC77</f>
        <v>0</v>
      </c>
      <c r="GE77" s="493">
        <f>+GB$29*GD77+GC77</f>
        <v>30947.782833333335</v>
      </c>
      <c r="GF77" s="492">
        <f>+GH76</f>
        <v>-31445.571500000049</v>
      </c>
      <c r="GG77" s="476">
        <f>+GF$31/12*(12-5)</f>
        <v>-31445.571499999984</v>
      </c>
      <c r="GH77" s="476">
        <f>+GF77-GG77</f>
        <v>-6.5483618527650833E-11</v>
      </c>
      <c r="GI77" s="493">
        <f>+GF$29*GH77+GG77</f>
        <v>-31445.571499999991</v>
      </c>
      <c r="GJ77" s="492">
        <f>+GL76</f>
        <v>2772935.6258333386</v>
      </c>
      <c r="GK77" s="476">
        <f>+GJ$31/12*(12-2)</f>
        <v>2772935.625833333</v>
      </c>
      <c r="GL77" s="476">
        <f>+GJ77-GK77</f>
        <v>5.5879354476928711E-9</v>
      </c>
      <c r="GM77" s="493">
        <f>+GJ$29*GL77+GK77</f>
        <v>2772935.6258333339</v>
      </c>
      <c r="GN77" s="492">
        <f>+GP76</f>
        <v>45636.780749999947</v>
      </c>
      <c r="GO77" s="476">
        <f>+GN$31/12*(12-1)</f>
        <v>45636.780749999998</v>
      </c>
      <c r="GP77" s="476">
        <f>+GN77-GO77</f>
        <v>0</v>
      </c>
      <c r="GQ77" s="493">
        <f>+GN$29*GP77+GO77</f>
        <v>45636.780749999998</v>
      </c>
      <c r="GR77" s="492">
        <f>+GT76</f>
        <v>263409.28649999981</v>
      </c>
      <c r="GS77" s="476">
        <f>+GS75</f>
        <v>175606.19100000002</v>
      </c>
      <c r="GT77" s="476">
        <f>+GR77-GS77</f>
        <v>87803.095499999792</v>
      </c>
      <c r="GU77" s="493">
        <f>+GR$29*GT77+GS77</f>
        <v>187207.97462759202</v>
      </c>
      <c r="GV77" s="492">
        <f>+GX76</f>
        <v>8909788.5834166706</v>
      </c>
      <c r="GW77" s="476">
        <f>+GW75</f>
        <v>3686809.0689999992</v>
      </c>
      <c r="GX77" s="476">
        <f t="shared" ref="GX77:GX82" si="126">+GV77-GW77</f>
        <v>5222979.5144166714</v>
      </c>
      <c r="GY77" s="493">
        <f t="shared" ref="GY77:GY82" si="127">+GV$29*GX77+GW77</f>
        <v>4376942.8037224598</v>
      </c>
      <c r="GZ77" s="492">
        <f>+HB76</f>
        <v>29436174.72033333</v>
      </c>
      <c r="HA77" s="476">
        <f t="shared" si="96"/>
        <v>8028047.6510000005</v>
      </c>
      <c r="HB77" s="476">
        <f t="shared" si="61"/>
        <v>21408127.06933333</v>
      </c>
      <c r="HC77" s="493">
        <f t="shared" si="66"/>
        <v>10856791.406741517</v>
      </c>
      <c r="HD77" s="576">
        <f>+HF76</f>
        <v>-217164.3250000001</v>
      </c>
      <c r="HE77" s="580">
        <f t="shared" si="97"/>
        <v>-53183.1</v>
      </c>
      <c r="HF77" s="580">
        <f t="shared" si="67"/>
        <v>-163981.22500000009</v>
      </c>
      <c r="HG77" s="918">
        <f t="shared" si="84"/>
        <v>-74850.612752297951</v>
      </c>
      <c r="HH77" s="576">
        <f>+HJ76</f>
        <v>562277.7333333334</v>
      </c>
      <c r="HI77" s="575">
        <f t="shared" si="98"/>
        <v>129756.4</v>
      </c>
      <c r="HJ77" s="575">
        <f t="shared" si="68"/>
        <v>432521.33333333337</v>
      </c>
      <c r="HK77" s="918">
        <f t="shared" si="85"/>
        <v>186907.22019689088</v>
      </c>
      <c r="HL77" s="576">
        <f>+HN76</f>
        <v>2237156.1916666673</v>
      </c>
      <c r="HM77" s="580">
        <f t="shared" si="104"/>
        <v>440096.3</v>
      </c>
      <c r="HN77" s="580">
        <f t="shared" si="86"/>
        <v>1797059.8916666673</v>
      </c>
      <c r="HO77" s="918">
        <f t="shared" si="99"/>
        <v>677549.20425370743</v>
      </c>
      <c r="HP77" s="576">
        <f>+HR76</f>
        <v>623165.12716666679</v>
      </c>
      <c r="HQ77" s="580">
        <f t="shared" si="111"/>
        <v>94657.993999999992</v>
      </c>
      <c r="HR77" s="580">
        <f t="shared" si="105"/>
        <v>528507.13316666684</v>
      </c>
      <c r="HS77" s="918">
        <f t="shared" si="108"/>
        <v>164491.81215551856</v>
      </c>
      <c r="HT77" s="576">
        <f>+HV76</f>
        <v>299149.5</v>
      </c>
      <c r="HU77" s="580">
        <f t="shared" si="121"/>
        <v>39019.5</v>
      </c>
      <c r="HV77" s="580">
        <f t="shared" si="122"/>
        <v>260130</v>
      </c>
      <c r="HW77" s="918">
        <f t="shared" si="123"/>
        <v>73391.545289058326</v>
      </c>
      <c r="HY77" s="492"/>
      <c r="HZ77" s="476"/>
      <c r="IA77" s="476"/>
      <c r="IB77" s="493"/>
      <c r="IC77" s="492"/>
      <c r="ID77" s="476"/>
      <c r="IE77" s="476"/>
      <c r="IF77" s="493"/>
      <c r="IG77" s="492"/>
      <c r="IH77" s="476"/>
      <c r="II77" s="476"/>
      <c r="IJ77" s="493"/>
    </row>
    <row r="78" spans="1:244">
      <c r="A78" s="554" t="s">
        <v>23</v>
      </c>
      <c r="B78" s="574">
        <v>2025</v>
      </c>
      <c r="C78" s="575">
        <f>+C77</f>
        <v>12370727.558522724</v>
      </c>
      <c r="D78" s="575">
        <f>+D77</f>
        <v>445791.98409090913</v>
      </c>
      <c r="E78" s="575">
        <f t="shared" si="6"/>
        <v>11924935.574431814</v>
      </c>
      <c r="F78" s="558">
        <f>+C$29*E78+D78</f>
        <v>1865664.6746123938</v>
      </c>
      <c r="G78" s="575">
        <f>+G77</f>
        <v>3185620.6124999975</v>
      </c>
      <c r="H78" s="575">
        <f>+H77</f>
        <v>115840.74954545456</v>
      </c>
      <c r="I78" s="575">
        <f t="shared" si="7"/>
        <v>3069779.862954543</v>
      </c>
      <c r="J78" s="558">
        <f>+G$29*I78+H78</f>
        <v>481351.87252941413</v>
      </c>
      <c r="K78" s="576">
        <f>+K77</f>
        <v>8169978.6103977198</v>
      </c>
      <c r="L78" s="575">
        <f>+L77</f>
        <v>305419.76113636367</v>
      </c>
      <c r="M78" s="575">
        <f t="shared" si="8"/>
        <v>7864558.8492613565</v>
      </c>
      <c r="N78" s="558">
        <f>+K$29*M78+L78</f>
        <v>1241833.401559518</v>
      </c>
      <c r="O78" s="576">
        <f>+O77</f>
        <v>3440287.174242422</v>
      </c>
      <c r="P78" s="575">
        <f>+P77</f>
        <v>119316.31818181818</v>
      </c>
      <c r="Q78" s="575">
        <f t="shared" si="11"/>
        <v>3320970.8560606036</v>
      </c>
      <c r="R78" s="558">
        <f>+O$29*Q78+P78</f>
        <v>514736.13366898731</v>
      </c>
      <c r="S78" s="492">
        <f>+S77</f>
        <v>1584243.3315151492</v>
      </c>
      <c r="T78" s="476">
        <f>+T77</f>
        <v>58315.705454545445</v>
      </c>
      <c r="U78" s="476">
        <f t="shared" si="12"/>
        <v>1525927.6260606037</v>
      </c>
      <c r="V78" s="493">
        <f>+S$29*U78+T78</f>
        <v>240004.14732765502</v>
      </c>
      <c r="W78" s="492">
        <f>+W77</f>
        <v>19989965.859848488</v>
      </c>
      <c r="X78" s="476">
        <f>+X77</f>
        <v>693293.61363636365</v>
      </c>
      <c r="Y78" s="476">
        <f t="shared" si="13"/>
        <v>19296672.246212125</v>
      </c>
      <c r="Z78" s="493">
        <f>+W$29*Y78+X78</f>
        <v>2990900.822440587</v>
      </c>
      <c r="AA78" s="492">
        <f>+AA77</f>
        <v>13036596.126893936</v>
      </c>
      <c r="AB78" s="476">
        <f>+AB77</f>
        <v>450833.29545454547</v>
      </c>
      <c r="AC78" s="476">
        <f t="shared" si="14"/>
        <v>12585762.831439391</v>
      </c>
      <c r="AD78" s="493">
        <f>+AA$29*AC78+AB78</f>
        <v>1949389.0588966976</v>
      </c>
      <c r="AE78" s="492">
        <f>+AE77</f>
        <v>131039.76136363651</v>
      </c>
      <c r="AF78" s="476">
        <f>+AF77</f>
        <v>4597.886363636364</v>
      </c>
      <c r="AG78" s="476">
        <f t="shared" si="15"/>
        <v>126441.87500000015</v>
      </c>
      <c r="AH78" s="493">
        <f>+AE$29*AG78+AF78</f>
        <v>19653.008811070264</v>
      </c>
      <c r="AI78" s="492">
        <f>+AI77</f>
        <v>8817165.0492424257</v>
      </c>
      <c r="AJ78" s="476">
        <f>+AJ77</f>
        <v>295547.43181818182</v>
      </c>
      <c r="AK78" s="476">
        <f t="shared" si="19"/>
        <v>8521617.6174242441</v>
      </c>
      <c r="AL78" s="493">
        <f>+AI$29*AK78+AJ78</f>
        <v>1310195.440482493</v>
      </c>
      <c r="AM78" s="492">
        <f>+AM77</f>
        <v>3270574.012613636</v>
      </c>
      <c r="AN78" s="476">
        <f>+AN77</f>
        <v>110866.91568181818</v>
      </c>
      <c r="AO78" s="476">
        <f t="shared" si="16"/>
        <v>3159707.0969318179</v>
      </c>
      <c r="AP78" s="493">
        <f>+AM$29*AO78+AN78</f>
        <v>487085.45279489364</v>
      </c>
      <c r="AQ78" s="492">
        <f>+AQ77</f>
        <v>26921734.05886364</v>
      </c>
      <c r="AR78" s="476">
        <f>+AR77</f>
        <v>904932.23727272719</v>
      </c>
      <c r="AS78" s="476">
        <f t="shared" si="17"/>
        <v>26016801.821590912</v>
      </c>
      <c r="AT78" s="493">
        <f>+AQ$29*AS78+AR78</f>
        <v>4002688.713239823</v>
      </c>
      <c r="AU78" s="575"/>
      <c r="AV78" s="575"/>
      <c r="AW78" s="575"/>
      <c r="AX78" s="558"/>
      <c r="AY78" s="575"/>
      <c r="AZ78" s="575"/>
      <c r="BA78" s="575"/>
      <c r="BB78" s="558"/>
      <c r="BC78" s="575"/>
      <c r="BD78" s="575"/>
      <c r="BE78" s="575"/>
      <c r="BF78" s="558"/>
      <c r="BG78" s="575"/>
      <c r="BH78" s="575"/>
      <c r="BI78" s="575"/>
      <c r="BJ78" s="558"/>
      <c r="BK78" s="575"/>
      <c r="BL78" s="575"/>
      <c r="BM78" s="575"/>
      <c r="BN78" s="558"/>
      <c r="BO78" s="575"/>
      <c r="BP78" s="575"/>
      <c r="BQ78" s="575"/>
      <c r="BR78" s="558"/>
      <c r="BS78" s="492">
        <f>+BS77</f>
        <v>249326.59090909106</v>
      </c>
      <c r="BT78" s="476">
        <f>+BT77</f>
        <v>8310.886363636364</v>
      </c>
      <c r="BU78" s="476">
        <f t="shared" si="18"/>
        <v>241015.7045454547</v>
      </c>
      <c r="BV78" s="493">
        <f>+BS$29*BU78+BT78</f>
        <v>37008.032334355055</v>
      </c>
      <c r="BW78" s="492">
        <f>+BW77</f>
        <v>17593657.431818191</v>
      </c>
      <c r="BX78" s="476">
        <f>+BX77</f>
        <v>576841.22727272729</v>
      </c>
      <c r="BY78" s="476">
        <f t="shared" si="20"/>
        <v>17016816.204545464</v>
      </c>
      <c r="BZ78" s="493">
        <f>+BW$29*BY78+BX78</f>
        <v>2492071.4649031246</v>
      </c>
      <c r="CA78" s="492">
        <f>+CA77</f>
        <v>1664770.7200000011</v>
      </c>
      <c r="CB78" s="476">
        <f>+CB77</f>
        <v>54433.919999999998</v>
      </c>
      <c r="CC78" s="476">
        <f t="shared" si="21"/>
        <v>1610336.8000000012</v>
      </c>
      <c r="CD78" s="493">
        <f>+CA$29*CC78+CB78</f>
        <v>246172.75419246085</v>
      </c>
      <c r="CE78" s="492">
        <f>+CE77</f>
        <v>142932.13000000009</v>
      </c>
      <c r="CF78" s="476">
        <f>+CF77</f>
        <v>4725.0290909090909</v>
      </c>
      <c r="CG78" s="476">
        <f t="shared" si="22"/>
        <v>138207.10090909101</v>
      </c>
      <c r="CH78" s="493">
        <f>+CE$29*CG78+CF78</f>
        <v>21181.00799260772</v>
      </c>
      <c r="CI78" s="492">
        <f>+CI77</f>
        <v>385304.99999999977</v>
      </c>
      <c r="CJ78" s="476">
        <f>+CJ77</f>
        <v>12362.727272727272</v>
      </c>
      <c r="CK78" s="476">
        <f t="shared" si="23"/>
        <v>372942.27272727247</v>
      </c>
      <c r="CL78" s="493">
        <f>+CI$29*CK78+CJ78</f>
        <v>54337.107734513156</v>
      </c>
      <c r="CM78" s="492">
        <f>+CM77</f>
        <v>17291976.446875002</v>
      </c>
      <c r="CN78" s="476">
        <f>+CN77</f>
        <v>483691.64886363636</v>
      </c>
      <c r="CO78" s="476">
        <f t="shared" si="33"/>
        <v>16808284.798011366</v>
      </c>
      <c r="CP78" s="493">
        <f>+CM$29*CO78+CN78</f>
        <v>2375451.8289645286</v>
      </c>
      <c r="CQ78" s="492">
        <f>+CQ77</f>
        <v>72134060.724374965</v>
      </c>
      <c r="CR78" s="476">
        <f>+CR77</f>
        <v>2017735.9643181816</v>
      </c>
      <c r="CS78" s="476">
        <f t="shared" si="38"/>
        <v>70116324.760056779</v>
      </c>
      <c r="CT78" s="493">
        <f>+CQ$29*CS78+CR78</f>
        <v>9909277.1150125731</v>
      </c>
      <c r="CU78" s="492">
        <f>+CU77</f>
        <v>24343033.410000011</v>
      </c>
      <c r="CV78" s="476">
        <f>+CV77</f>
        <v>676195.37250000006</v>
      </c>
      <c r="CW78" s="476">
        <f t="shared" si="39"/>
        <v>23666838.037500013</v>
      </c>
      <c r="CX78" s="493">
        <f>+CU$29*CW78+CV78</f>
        <v>3339880.7113834037</v>
      </c>
      <c r="CY78" s="492">
        <f>+CY77</f>
        <v>26780.921022727318</v>
      </c>
      <c r="CZ78" s="476">
        <f>+CZ77</f>
        <v>733.72386363636497</v>
      </c>
      <c r="DA78" s="476">
        <f t="shared" si="40"/>
        <v>26047.197159090952</v>
      </c>
      <c r="DB78" s="493">
        <f>+CY$29*DA78+CZ78</f>
        <v>3665.316883444978</v>
      </c>
      <c r="DC78" s="492">
        <f>+DC77</f>
        <v>1614236.8863636369</v>
      </c>
      <c r="DD78" s="476">
        <f>+DD77</f>
        <v>44530.672727272722</v>
      </c>
      <c r="DE78" s="476">
        <f t="shared" si="41"/>
        <v>1569706.2136363643</v>
      </c>
      <c r="DF78" s="493">
        <f>+DC$29*DE78+DD78</f>
        <v>221199.96082533902</v>
      </c>
      <c r="DG78" s="492">
        <f>+DG77</f>
        <v>899340.81261363602</v>
      </c>
      <c r="DH78" s="476">
        <f>+DH77</f>
        <v>24639.474318181816</v>
      </c>
      <c r="DI78" s="476">
        <f t="shared" si="42"/>
        <v>874701.33829545416</v>
      </c>
      <c r="DJ78" s="493">
        <f>+DG$29*DI78+DH78</f>
        <v>123086.47121009995</v>
      </c>
      <c r="DK78" s="492">
        <f>+DK77</f>
        <v>19879326.920568183</v>
      </c>
      <c r="DL78" s="476">
        <f>+DL77</f>
        <v>549658.80886363634</v>
      </c>
      <c r="DM78" s="476">
        <f t="shared" si="43"/>
        <v>19329668.111704547</v>
      </c>
      <c r="DN78" s="493">
        <f>+DK$29*DM78+DL78</f>
        <v>2725198.8397307368</v>
      </c>
      <c r="DO78" s="492">
        <f>+DO77</f>
        <v>728195.49359848443</v>
      </c>
      <c r="DP78" s="476">
        <f t="shared" si="87"/>
        <v>19592.703863636354</v>
      </c>
      <c r="DQ78" s="476">
        <f t="shared" si="57"/>
        <v>708602.78973484808</v>
      </c>
      <c r="DR78" s="493">
        <f t="shared" si="62"/>
        <v>99345.430405216001</v>
      </c>
      <c r="DS78" s="492">
        <f>+DS77</f>
        <v>311090.72727272619</v>
      </c>
      <c r="DT78" s="476">
        <f t="shared" si="88"/>
        <v>8295.7527272726966</v>
      </c>
      <c r="DU78" s="476">
        <f t="shared" si="58"/>
        <v>302794.9745454535</v>
      </c>
      <c r="DV78" s="493">
        <f t="shared" si="63"/>
        <v>42375.106002362576</v>
      </c>
      <c r="DW78" s="492">
        <f>+DW77</f>
        <v>45510.686988636342</v>
      </c>
      <c r="DX78" s="476">
        <f t="shared" si="89"/>
        <v>1221.7634090909089</v>
      </c>
      <c r="DY78" s="476">
        <f t="shared" si="59"/>
        <v>44288.92357954543</v>
      </c>
      <c r="DZ78" s="493">
        <f t="shared" si="64"/>
        <v>6206.4494168641841</v>
      </c>
      <c r="EA78" s="492">
        <f>+EA77</f>
        <v>-269978.10198863811</v>
      </c>
      <c r="EB78" s="476">
        <f t="shared" si="90"/>
        <v>-7120.3015909091364</v>
      </c>
      <c r="EC78" s="476">
        <f t="shared" si="60"/>
        <v>-262857.80039772898</v>
      </c>
      <c r="ED78" s="493">
        <f t="shared" si="65"/>
        <v>-36704.755078998816</v>
      </c>
      <c r="EE78" s="576">
        <f>+EE77</f>
        <v>7587528.6650000028</v>
      </c>
      <c r="EF78" s="580">
        <f t="shared" si="100"/>
        <v>192495.44181818186</v>
      </c>
      <c r="EG78" s="580">
        <f t="shared" si="69"/>
        <v>7395033.2231818214</v>
      </c>
      <c r="EH78" s="493">
        <f t="shared" si="91"/>
        <v>1024801.0310115346</v>
      </c>
      <c r="EI78" s="576">
        <f>+EI77</f>
        <v>306565.36337121209</v>
      </c>
      <c r="EJ78" s="580">
        <f t="shared" si="101"/>
        <v>7696.2015909090906</v>
      </c>
      <c r="EK78" s="580">
        <f t="shared" si="70"/>
        <v>298869.16178030299</v>
      </c>
      <c r="EL78" s="493">
        <f t="shared" si="92"/>
        <v>41333.707506027888</v>
      </c>
      <c r="EM78" s="576">
        <f>+EM77</f>
        <v>10451058.354545454</v>
      </c>
      <c r="EN78" s="580">
        <f t="shared" si="102"/>
        <v>261276.45886363636</v>
      </c>
      <c r="EO78" s="580">
        <f t="shared" si="71"/>
        <v>10189781.895681817</v>
      </c>
      <c r="EP78" s="493">
        <f t="shared" si="93"/>
        <v>1408128.9703372945</v>
      </c>
      <c r="EQ78" s="576">
        <f>+EQ77</f>
        <v>20273490.239318177</v>
      </c>
      <c r="ER78" s="580">
        <f t="shared" si="109"/>
        <v>500580.00590909086</v>
      </c>
      <c r="ES78" s="580">
        <f t="shared" si="94"/>
        <v>19772910.233409084</v>
      </c>
      <c r="ET78" s="493">
        <f t="shared" si="106"/>
        <v>2726006.6139053036</v>
      </c>
      <c r="EU78" s="576">
        <f>+EU77</f>
        <v>26196034.855909094</v>
      </c>
      <c r="EV78" s="580">
        <f t="shared" si="110"/>
        <v>646815.67545454553</v>
      </c>
      <c r="EW78" s="580">
        <f t="shared" si="95"/>
        <v>25549219.180454548</v>
      </c>
      <c r="EX78" s="493">
        <f t="shared" si="107"/>
        <v>3522361.637406135</v>
      </c>
      <c r="EY78" s="582">
        <f t="shared" si="103"/>
        <v>45485887.52844245</v>
      </c>
      <c r="EZ78" s="579">
        <f>+EY78</f>
        <v>45485887.52844245</v>
      </c>
      <c r="FA78" s="553"/>
      <c r="FD78" s="492"/>
      <c r="FE78" s="476"/>
      <c r="FF78" s="476"/>
      <c r="FG78" s="493"/>
      <c r="FH78" s="492"/>
      <c r="FI78" s="476"/>
      <c r="FJ78" s="476"/>
      <c r="FK78" s="493"/>
      <c r="FL78" s="492"/>
      <c r="FM78" s="476"/>
      <c r="FN78" s="476"/>
      <c r="FO78" s="493"/>
      <c r="FP78" s="492"/>
      <c r="FQ78" s="476"/>
      <c r="FR78" s="476"/>
      <c r="FS78" s="493"/>
      <c r="FT78" s="492">
        <f>+FT77</f>
        <v>208.96433333333334</v>
      </c>
      <c r="FU78" s="476">
        <f>+FU77</f>
        <v>208.96433333333334</v>
      </c>
      <c r="FV78" s="476">
        <f t="shared" si="124"/>
        <v>0</v>
      </c>
      <c r="FW78" s="493">
        <f t="shared" si="125"/>
        <v>208.96433333333334</v>
      </c>
      <c r="FX78" s="492">
        <f>+FX77</f>
        <v>1008314.9949999955</v>
      </c>
      <c r="FY78" s="476">
        <f>+FY77</f>
        <v>1008314.9949999999</v>
      </c>
      <c r="FZ78" s="476">
        <f>+FX78-FY78</f>
        <v>-4.4237822294235229E-9</v>
      </c>
      <c r="GA78" s="493">
        <f>+FX$29*FZ78+FY78</f>
        <v>1008314.9949999993</v>
      </c>
      <c r="GB78" s="492">
        <f>+GB77</f>
        <v>30947.78283333336</v>
      </c>
      <c r="GC78" s="476">
        <f>+GC77</f>
        <v>30947.782833333335</v>
      </c>
      <c r="GD78" s="476">
        <f>+GB78-GC78</f>
        <v>0</v>
      </c>
      <c r="GE78" s="493">
        <f>+GB$29*GD78+GC78</f>
        <v>30947.782833333335</v>
      </c>
      <c r="GF78" s="492">
        <f>+GF77</f>
        <v>-31445.571500000049</v>
      </c>
      <c r="GG78" s="476">
        <f>+GG77</f>
        <v>-31445.571499999984</v>
      </c>
      <c r="GH78" s="476">
        <f>+GF78-GG78</f>
        <v>-6.5483618527650833E-11</v>
      </c>
      <c r="GI78" s="493">
        <f>+GF$29*GH78+GG78</f>
        <v>-31445.571499999991</v>
      </c>
      <c r="GJ78" s="492">
        <f>+GJ77</f>
        <v>2772935.6258333386</v>
      </c>
      <c r="GK78" s="476">
        <f>+GK77</f>
        <v>2772935.625833333</v>
      </c>
      <c r="GL78" s="476">
        <f>+GJ78-GK78</f>
        <v>5.5879354476928711E-9</v>
      </c>
      <c r="GM78" s="493">
        <f>+GJ$29*GL78+GK78</f>
        <v>2772935.6258333339</v>
      </c>
      <c r="GN78" s="492">
        <f>+GN77</f>
        <v>45636.780749999947</v>
      </c>
      <c r="GO78" s="476">
        <f>+GO77</f>
        <v>45636.780749999998</v>
      </c>
      <c r="GP78" s="476">
        <f>+GN78-GO78</f>
        <v>0</v>
      </c>
      <c r="GQ78" s="493">
        <f>+GN$29*GP78+GO78</f>
        <v>45636.780749999998</v>
      </c>
      <c r="GR78" s="492">
        <f>+GR77</f>
        <v>263409.28649999981</v>
      </c>
      <c r="GS78" s="476">
        <f>+GS76</f>
        <v>175606.19100000002</v>
      </c>
      <c r="GT78" s="476">
        <f>+GR78-GS78</f>
        <v>87803.095499999792</v>
      </c>
      <c r="GU78" s="493">
        <f>+GR$29*GT78+GS78</f>
        <v>187207.97462759202</v>
      </c>
      <c r="GV78" s="492">
        <f>+GV77</f>
        <v>8909788.5834166706</v>
      </c>
      <c r="GW78" s="476">
        <f>+GW76</f>
        <v>3686809.0689999992</v>
      </c>
      <c r="GX78" s="476">
        <f t="shared" si="126"/>
        <v>5222979.5144166714</v>
      </c>
      <c r="GY78" s="493">
        <f t="shared" si="127"/>
        <v>4376942.8037224598</v>
      </c>
      <c r="GZ78" s="492">
        <f>+GZ77</f>
        <v>29436174.72033333</v>
      </c>
      <c r="HA78" s="476">
        <f t="shared" si="96"/>
        <v>8028047.6510000005</v>
      </c>
      <c r="HB78" s="476">
        <f t="shared" si="61"/>
        <v>21408127.06933333</v>
      </c>
      <c r="HC78" s="493">
        <f t="shared" si="66"/>
        <v>10856791.406741517</v>
      </c>
      <c r="HD78" s="576">
        <f>+HD77</f>
        <v>-217164.3250000001</v>
      </c>
      <c r="HE78" s="580">
        <f t="shared" si="97"/>
        <v>-53183.1</v>
      </c>
      <c r="HF78" s="580">
        <f t="shared" si="67"/>
        <v>-163981.22500000009</v>
      </c>
      <c r="HG78" s="918">
        <f t="shared" si="84"/>
        <v>-74850.612752297951</v>
      </c>
      <c r="HH78" s="576">
        <f>+HH77</f>
        <v>562277.7333333334</v>
      </c>
      <c r="HI78" s="575">
        <f t="shared" si="98"/>
        <v>129756.4</v>
      </c>
      <c r="HJ78" s="575">
        <f t="shared" si="68"/>
        <v>432521.33333333337</v>
      </c>
      <c r="HK78" s="918">
        <f t="shared" si="85"/>
        <v>186907.22019689088</v>
      </c>
      <c r="HL78" s="576">
        <f>+HL77</f>
        <v>2237156.1916666673</v>
      </c>
      <c r="HM78" s="580">
        <f t="shared" si="104"/>
        <v>440096.3</v>
      </c>
      <c r="HN78" s="580">
        <f t="shared" si="86"/>
        <v>1797059.8916666673</v>
      </c>
      <c r="HO78" s="918">
        <f t="shared" si="99"/>
        <v>677549.20425370743</v>
      </c>
      <c r="HP78" s="576">
        <f>+HP77</f>
        <v>623165.12716666679</v>
      </c>
      <c r="HQ78" s="580">
        <f t="shared" si="111"/>
        <v>94657.993999999992</v>
      </c>
      <c r="HR78" s="580">
        <f t="shared" si="105"/>
        <v>528507.13316666684</v>
      </c>
      <c r="HS78" s="918">
        <f t="shared" si="108"/>
        <v>164491.81215551856</v>
      </c>
      <c r="HT78" s="576">
        <f>+HT77</f>
        <v>299149.5</v>
      </c>
      <c r="HU78" s="580">
        <f t="shared" si="121"/>
        <v>39019.5</v>
      </c>
      <c r="HV78" s="580">
        <f t="shared" si="122"/>
        <v>260130</v>
      </c>
      <c r="HW78" s="918">
        <f t="shared" si="123"/>
        <v>73391.545289058326</v>
      </c>
      <c r="HY78" s="492"/>
      <c r="HZ78" s="476"/>
      <c r="IA78" s="476"/>
      <c r="IB78" s="493"/>
      <c r="IC78" s="492"/>
      <c r="ID78" s="476"/>
      <c r="IE78" s="476"/>
      <c r="IF78" s="493"/>
      <c r="IG78" s="492"/>
      <c r="IH78" s="476"/>
      <c r="II78" s="476"/>
      <c r="IJ78" s="493"/>
    </row>
    <row r="79" spans="1:244">
      <c r="A79" s="554" t="s">
        <v>24</v>
      </c>
      <c r="B79" s="574">
        <v>2026</v>
      </c>
      <c r="C79" s="575">
        <f>+E78</f>
        <v>11924935.574431814</v>
      </c>
      <c r="D79" s="575">
        <f>+C$31</f>
        <v>445791.98409090913</v>
      </c>
      <c r="E79" s="575">
        <f t="shared" si="6"/>
        <v>11479143.590340905</v>
      </c>
      <c r="F79" s="558">
        <f>+C$28*E79+D79</f>
        <v>1737761.212767744</v>
      </c>
      <c r="G79" s="575">
        <f>+I78</f>
        <v>3069779.862954543</v>
      </c>
      <c r="H79" s="575">
        <f>+G$31</f>
        <v>115840.74954545456</v>
      </c>
      <c r="I79" s="575">
        <f t="shared" si="7"/>
        <v>2953939.1134090885</v>
      </c>
      <c r="J79" s="558">
        <f>+G$28*I79+H79</f>
        <v>448304.43970442878</v>
      </c>
      <c r="K79" s="576">
        <f>+M78</f>
        <v>7864558.8492613565</v>
      </c>
      <c r="L79" s="575">
        <f>+K$31</f>
        <v>305419.76113636367</v>
      </c>
      <c r="M79" s="575">
        <f t="shared" si="8"/>
        <v>7559139.0881249933</v>
      </c>
      <c r="N79" s="558">
        <f>+K$28*M79+L79</f>
        <v>1156195.3455940301</v>
      </c>
      <c r="O79" s="576">
        <f>+Q78</f>
        <v>3320970.8560606036</v>
      </c>
      <c r="P79" s="575">
        <f>+O$31</f>
        <v>119316.31818181818</v>
      </c>
      <c r="Q79" s="575">
        <f t="shared" si="11"/>
        <v>3201654.5378787853</v>
      </c>
      <c r="R79" s="558">
        <f>+O$28*Q79+P79</f>
        <v>479660.19847560051</v>
      </c>
      <c r="S79" s="492">
        <f>+U78</f>
        <v>1525927.6260606037</v>
      </c>
      <c r="T79" s="476">
        <f>+S$31</f>
        <v>58315.705454545445</v>
      </c>
      <c r="U79" s="476">
        <f t="shared" si="12"/>
        <v>1467611.9206060581</v>
      </c>
      <c r="V79" s="493">
        <f>+S$28*U79+T79</f>
        <v>223494.35542437536</v>
      </c>
      <c r="W79" s="492">
        <f>+Y78</f>
        <v>19296672.246212125</v>
      </c>
      <c r="X79" s="476">
        <f>+W$31</f>
        <v>693293.61363636365</v>
      </c>
      <c r="Y79" s="476">
        <f t="shared" si="13"/>
        <v>18603378.632575762</v>
      </c>
      <c r="Z79" s="493">
        <f>+W$28*Y79+X79</f>
        <v>2787090.2939859498</v>
      </c>
      <c r="AA79" s="492">
        <f>+AC78</f>
        <v>12585762.831439391</v>
      </c>
      <c r="AB79" s="476">
        <f>+AA$31</f>
        <v>450833.29545454547</v>
      </c>
      <c r="AC79" s="476">
        <f t="shared" si="14"/>
        <v>12134929.535984846</v>
      </c>
      <c r="AD79" s="493">
        <f>+AA$28*AC79+AB79</f>
        <v>1816610.7534389768</v>
      </c>
      <c r="AE79" s="492">
        <f>+AG78</f>
        <v>126441.87500000015</v>
      </c>
      <c r="AF79" s="476">
        <f>+AE$31</f>
        <v>4597.886363636364</v>
      </c>
      <c r="AG79" s="476">
        <f t="shared" si="15"/>
        <v>121843.98863636378</v>
      </c>
      <c r="AH79" s="493">
        <f>+AE$28*AG79+AF79</f>
        <v>18311.338310512561</v>
      </c>
      <c r="AI79" s="492">
        <f>+AK78</f>
        <v>8521617.6174242441</v>
      </c>
      <c r="AJ79" s="476">
        <f>+AI$31</f>
        <v>295547.43181818182</v>
      </c>
      <c r="AK79" s="476">
        <f t="shared" si="19"/>
        <v>8226070.1856060624</v>
      </c>
      <c r="AL79" s="493">
        <f>+AI$28*AK79+AJ79</f>
        <v>1221385.6242841887</v>
      </c>
      <c r="AM79" s="492">
        <f>+AO78</f>
        <v>3159707.0969318179</v>
      </c>
      <c r="AN79" s="476">
        <f>+AM$31</f>
        <v>110866.91568181818</v>
      </c>
      <c r="AO79" s="476">
        <f t="shared" si="16"/>
        <v>3048840.1812499999</v>
      </c>
      <c r="AP79" s="493">
        <f>+AM$28*AO79+AN79</f>
        <v>454011.65172667184</v>
      </c>
      <c r="AQ79" s="492">
        <f>+AS78</f>
        <v>26016801.821590912</v>
      </c>
      <c r="AR79" s="476">
        <f>+AQ$31</f>
        <v>904932.23727272719</v>
      </c>
      <c r="AS79" s="476">
        <f t="shared" si="17"/>
        <v>25111869.584318183</v>
      </c>
      <c r="AT79" s="493">
        <f>+AQ$28*AS79+AR79</f>
        <v>3731254.8215450025</v>
      </c>
      <c r="AU79" s="575"/>
      <c r="AV79" s="575"/>
      <c r="AW79" s="575"/>
      <c r="AX79" s="558"/>
      <c r="AY79" s="575"/>
      <c r="AZ79" s="575"/>
      <c r="BA79" s="575"/>
      <c r="BB79" s="558"/>
      <c r="BC79" s="575"/>
      <c r="BD79" s="575"/>
      <c r="BE79" s="575"/>
      <c r="BF79" s="558"/>
      <c r="BG79" s="575"/>
      <c r="BH79" s="575"/>
      <c r="BI79" s="575"/>
      <c r="BJ79" s="558"/>
      <c r="BK79" s="575"/>
      <c r="BL79" s="575"/>
      <c r="BM79" s="575"/>
      <c r="BN79" s="558"/>
      <c r="BO79" s="575"/>
      <c r="BP79" s="575"/>
      <c r="BQ79" s="575"/>
      <c r="BR79" s="558"/>
      <c r="BS79" s="492">
        <f>+BU78</f>
        <v>241015.7045454547</v>
      </c>
      <c r="BT79" s="476">
        <f>+BS$31</f>
        <v>8310.886363636364</v>
      </c>
      <c r="BU79" s="476">
        <f t="shared" si="18"/>
        <v>232704.81818181835</v>
      </c>
      <c r="BV79" s="493">
        <f>+BS$28*BU79+BT79</f>
        <v>34501.643721940156</v>
      </c>
      <c r="BW79" s="492">
        <f>+BY78</f>
        <v>17016816.204545464</v>
      </c>
      <c r="BX79" s="476">
        <f>+BW$31</f>
        <v>576841.22727272729</v>
      </c>
      <c r="BY79" s="476">
        <f t="shared" si="20"/>
        <v>16439974.977272738</v>
      </c>
      <c r="BZ79" s="493">
        <f>+BW$28*BY79+BX79</f>
        <v>2427148.4060003995</v>
      </c>
      <c r="CA79" s="492">
        <f>+CC78</f>
        <v>1610336.8000000012</v>
      </c>
      <c r="CB79" s="476">
        <f>+CA$31</f>
        <v>54433.919999999998</v>
      </c>
      <c r="CC79" s="476">
        <f t="shared" si="21"/>
        <v>1555902.8800000013</v>
      </c>
      <c r="CD79" s="493">
        <f>+CA$28*CC79+CB79</f>
        <v>229549.65297690319</v>
      </c>
      <c r="CE79" s="492">
        <f>+CG78</f>
        <v>138207.10090909101</v>
      </c>
      <c r="CF79" s="476">
        <f>+CE$31</f>
        <v>4725.0290909090909</v>
      </c>
      <c r="CG79" s="476">
        <f t="shared" si="22"/>
        <v>133482.07181818192</v>
      </c>
      <c r="CH79" s="493">
        <f>+CE$28*CG79+CF79</f>
        <v>19748.338801420417</v>
      </c>
      <c r="CI79" s="492">
        <f>+CK78</f>
        <v>372942.27272727247</v>
      </c>
      <c r="CJ79" s="476">
        <f>+CI$31</f>
        <v>12362.727272727272</v>
      </c>
      <c r="CK79" s="476">
        <f t="shared" si="23"/>
        <v>360579.54545454518</v>
      </c>
      <c r="CL79" s="493">
        <f>+CI$28*CK79+CJ79</f>
        <v>52945.691807603122</v>
      </c>
      <c r="CM79" s="492">
        <f>+CO78</f>
        <v>16808284.798011366</v>
      </c>
      <c r="CN79" s="476">
        <f>+CM$31</f>
        <v>483691.64886363636</v>
      </c>
      <c r="CO79" s="476">
        <f t="shared" si="33"/>
        <v>16324593.14914773</v>
      </c>
      <c r="CP79" s="493">
        <f>+CM$28*CO79+CN79</f>
        <v>2321012.6870911215</v>
      </c>
      <c r="CQ79" s="492">
        <f>+CS78</f>
        <v>70116324.760056779</v>
      </c>
      <c r="CR79" s="476">
        <f>+CQ$31</f>
        <v>2017735.9643181816</v>
      </c>
      <c r="CS79" s="476">
        <f t="shared" si="38"/>
        <v>68098588.795738593</v>
      </c>
      <c r="CT79" s="493">
        <f>+CQ$28*CS79+CR79</f>
        <v>9682182.4056400713</v>
      </c>
      <c r="CU79" s="492">
        <f>+CW78</f>
        <v>23666838.037500013</v>
      </c>
      <c r="CV79" s="476">
        <f>+CU$31</f>
        <v>676195.37250000006</v>
      </c>
      <c r="CW79" s="476">
        <f t="shared" si="39"/>
        <v>22990642.665000014</v>
      </c>
      <c r="CX79" s="493">
        <f>+CU$28*CW79+CV79</f>
        <v>3263775.4159867354</v>
      </c>
      <c r="CY79" s="492">
        <f>+DA78</f>
        <v>26047.197159090952</v>
      </c>
      <c r="CZ79" s="476">
        <f>+CY$31</f>
        <v>733.72386363636497</v>
      </c>
      <c r="DA79" s="476">
        <f t="shared" si="40"/>
        <v>25313.473295454587</v>
      </c>
      <c r="DB79" s="493">
        <f>+CY$28*DA79+CZ79</f>
        <v>3582.7367983799468</v>
      </c>
      <c r="DC79" s="492">
        <f>+DE78</f>
        <v>1569706.2136363643</v>
      </c>
      <c r="DD79" s="476">
        <f>+DC$31</f>
        <v>44530.672727272722</v>
      </c>
      <c r="DE79" s="476">
        <f t="shared" si="41"/>
        <v>1525175.5409090917</v>
      </c>
      <c r="DF79" s="493">
        <f>+DC$28*DE79+DD79</f>
        <v>216188.06612752154</v>
      </c>
      <c r="DG79" s="492">
        <f>+DI78</f>
        <v>874701.33829545416</v>
      </c>
      <c r="DH79" s="476">
        <f>+DG$31</f>
        <v>24639.474318181816</v>
      </c>
      <c r="DI79" s="476">
        <f t="shared" si="42"/>
        <v>850061.8639772723</v>
      </c>
      <c r="DJ79" s="493">
        <f>+DG$28*DI79+DH79</f>
        <v>120313.31636807408</v>
      </c>
      <c r="DK79" s="492">
        <f>+DM78</f>
        <v>19329668.111704547</v>
      </c>
      <c r="DL79" s="476">
        <f>+DK$31</f>
        <v>549658.80886363634</v>
      </c>
      <c r="DM79" s="476">
        <f t="shared" si="43"/>
        <v>18780009.302840911</v>
      </c>
      <c r="DN79" s="493">
        <f>+DK$28*DM79+DL79</f>
        <v>2663335.1421705354</v>
      </c>
      <c r="DO79" s="492">
        <f>+DQ78</f>
        <v>708602.78973484808</v>
      </c>
      <c r="DP79" s="476">
        <f t="shared" ref="DP79:DP90" si="128">+DP77</f>
        <v>19592.703863636354</v>
      </c>
      <c r="DQ79" s="476">
        <f t="shared" si="57"/>
        <v>689010.08587121172</v>
      </c>
      <c r="DR79" s="493">
        <f t="shared" si="62"/>
        <v>97140.285892545595</v>
      </c>
      <c r="DS79" s="492">
        <f>+DU78</f>
        <v>302794.9745454535</v>
      </c>
      <c r="DT79" s="476">
        <f t="shared" ref="DT79:DT90" si="129">+DT77</f>
        <v>8295.7527272726966</v>
      </c>
      <c r="DU79" s="476">
        <f t="shared" si="58"/>
        <v>294499.22181818081</v>
      </c>
      <c r="DV79" s="493">
        <f t="shared" si="63"/>
        <v>41441.425090716279</v>
      </c>
      <c r="DW79" s="492">
        <f>+DY78</f>
        <v>44288.92357954543</v>
      </c>
      <c r="DX79" s="476">
        <f t="shared" ref="DX79:DX90" si="130">+DX77</f>
        <v>1221.7634090909089</v>
      </c>
      <c r="DY79" s="476">
        <f t="shared" si="59"/>
        <v>43067.160170454517</v>
      </c>
      <c r="DZ79" s="493">
        <f t="shared" si="64"/>
        <v>6068.9408373394035</v>
      </c>
      <c r="EA79" s="492">
        <f>+EC78</f>
        <v>-262857.80039772898</v>
      </c>
      <c r="EB79" s="476">
        <f t="shared" ref="EB79:EB90" si="131">+EB77</f>
        <v>-7120.3015909091364</v>
      </c>
      <c r="EC79" s="476">
        <f t="shared" si="60"/>
        <v>-255737.49880681984</v>
      </c>
      <c r="ED79" s="493">
        <f t="shared" si="65"/>
        <v>-35903.370334400453</v>
      </c>
      <c r="EE79" s="576">
        <f>+EG78</f>
        <v>7395033.2231818214</v>
      </c>
      <c r="EF79" s="580">
        <f t="shared" ref="EF79:EF90" si="132">+EF77</f>
        <v>192495.44181818186</v>
      </c>
      <c r="EG79" s="580">
        <f t="shared" si="69"/>
        <v>7202537.78136364</v>
      </c>
      <c r="EH79" s="493">
        <f t="shared" si="91"/>
        <v>1003135.8096008616</v>
      </c>
      <c r="EI79" s="576">
        <f>+EK78</f>
        <v>298869.16178030299</v>
      </c>
      <c r="EJ79" s="580">
        <f t="shared" ref="EJ79:EJ90" si="133">+EJ77</f>
        <v>7696.2015909090906</v>
      </c>
      <c r="EK79" s="580">
        <f t="shared" si="70"/>
        <v>291172.9601893939</v>
      </c>
      <c r="EL79" s="493">
        <f t="shared" si="92"/>
        <v>40467.505636969036</v>
      </c>
      <c r="EM79" s="576">
        <f>+EO78</f>
        <v>10189781.895681817</v>
      </c>
      <c r="EN79" s="580">
        <f t="shared" ref="EN79:EN90" si="134">+EN77</f>
        <v>261276.45886363636</v>
      </c>
      <c r="EO79" s="580">
        <f t="shared" si="71"/>
        <v>9928505.4368181806</v>
      </c>
      <c r="EP79" s="493">
        <f t="shared" si="93"/>
        <v>1378722.4956841236</v>
      </c>
      <c r="EQ79" s="576">
        <f>+ES78</f>
        <v>19772910.233409084</v>
      </c>
      <c r="ER79" s="580">
        <f t="shared" ref="ER79:ER90" si="135">+ER77</f>
        <v>500580.00590909086</v>
      </c>
      <c r="ES79" s="580">
        <f t="shared" si="94"/>
        <v>19272330.227499992</v>
      </c>
      <c r="ET79" s="493">
        <f t="shared" si="106"/>
        <v>2669666.6997788171</v>
      </c>
      <c r="EU79" s="576">
        <f>+EW78</f>
        <v>25549219.180454548</v>
      </c>
      <c r="EV79" s="580">
        <f t="shared" ref="EV79:EV90" si="136">+EV77</f>
        <v>646815.67545454553</v>
      </c>
      <c r="EW79" s="580">
        <f t="shared" si="95"/>
        <v>24902403.505000003</v>
      </c>
      <c r="EX79" s="493">
        <f t="shared" si="107"/>
        <v>3449563.0054579927</v>
      </c>
      <c r="EY79" s="582">
        <f t="shared" si="103"/>
        <v>43758666.336393148</v>
      </c>
      <c r="EZ79" s="557"/>
      <c r="FA79" s="578">
        <f>+EY79</f>
        <v>43758666.336393148</v>
      </c>
      <c r="FD79" s="492"/>
      <c r="FE79" s="476"/>
      <c r="FF79" s="476"/>
      <c r="FG79" s="493"/>
      <c r="FH79" s="492"/>
      <c r="FI79" s="476"/>
      <c r="FJ79" s="476"/>
      <c r="FK79" s="493"/>
      <c r="FL79" s="492"/>
      <c r="FM79" s="476"/>
      <c r="FN79" s="476"/>
      <c r="FO79" s="493"/>
      <c r="FP79" s="492"/>
      <c r="FQ79" s="476"/>
      <c r="FR79" s="476"/>
      <c r="FS79" s="493"/>
      <c r="FT79" s="492"/>
      <c r="FU79" s="476"/>
      <c r="FV79" s="476"/>
      <c r="FW79" s="493"/>
      <c r="FX79" s="492"/>
      <c r="FY79" s="476"/>
      <c r="FZ79" s="476"/>
      <c r="GA79" s="493"/>
      <c r="GB79" s="492"/>
      <c r="GC79" s="476"/>
      <c r="GD79" s="476"/>
      <c r="GE79" s="493"/>
      <c r="GF79" s="492"/>
      <c r="GG79" s="476"/>
      <c r="GH79" s="476"/>
      <c r="GI79" s="493"/>
      <c r="GJ79" s="492"/>
      <c r="GK79" s="476"/>
      <c r="GL79" s="476"/>
      <c r="GM79" s="493"/>
      <c r="GN79" s="492"/>
      <c r="GO79" s="476"/>
      <c r="GP79" s="476"/>
      <c r="GQ79" s="493"/>
      <c r="GR79" s="492">
        <f>+GT78</f>
        <v>87803.095499999792</v>
      </c>
      <c r="GS79" s="476">
        <f>+GR$31/12*(12-6)-0.1</f>
        <v>87802.995500000005</v>
      </c>
      <c r="GT79" s="476">
        <f>+GR79-GS79</f>
        <v>9.9999999787542038E-2</v>
      </c>
      <c r="GU79" s="493">
        <f>+GR$29*GT79+GS79</f>
        <v>87803.008713410687</v>
      </c>
      <c r="GV79" s="492">
        <f>+GX78</f>
        <v>5222979.5144166714</v>
      </c>
      <c r="GW79" s="476">
        <f>+GW77</f>
        <v>3686809.0689999992</v>
      </c>
      <c r="GX79" s="476">
        <f t="shared" si="126"/>
        <v>1536170.4454166722</v>
      </c>
      <c r="GY79" s="493">
        <f t="shared" si="127"/>
        <v>3889789.5792124881</v>
      </c>
      <c r="GZ79" s="492">
        <f>+HB78</f>
        <v>21408127.06933333</v>
      </c>
      <c r="HA79" s="476">
        <f>+HA77</f>
        <v>8028047.6510000005</v>
      </c>
      <c r="HB79" s="476">
        <f t="shared" si="61"/>
        <v>13380079.418333329</v>
      </c>
      <c r="HC79" s="493">
        <f t="shared" si="66"/>
        <v>9796012.4983384479</v>
      </c>
      <c r="HD79" s="576">
        <f>+HF78</f>
        <v>-163981.22500000009</v>
      </c>
      <c r="HE79" s="580">
        <f>+HE77</f>
        <v>-53183.1</v>
      </c>
      <c r="HF79" s="580">
        <f t="shared" si="67"/>
        <v>-110798.12500000009</v>
      </c>
      <c r="HG79" s="918">
        <f t="shared" si="84"/>
        <v>-67823.311319120243</v>
      </c>
      <c r="HH79" s="576">
        <f>+HJ78</f>
        <v>432521.33333333337</v>
      </c>
      <c r="HI79" s="575">
        <f>+HI77</f>
        <v>129756.4</v>
      </c>
      <c r="HJ79" s="575">
        <f t="shared" si="68"/>
        <v>302764.93333333335</v>
      </c>
      <c r="HK79" s="918">
        <f t="shared" si="85"/>
        <v>169761.97413782362</v>
      </c>
      <c r="HL79" s="576">
        <f>+HN78</f>
        <v>1797059.8916666673</v>
      </c>
      <c r="HM79" s="580">
        <f>+HM77</f>
        <v>440096.3</v>
      </c>
      <c r="HN79" s="580">
        <f t="shared" si="86"/>
        <v>1356963.5916666673</v>
      </c>
      <c r="HO79" s="918">
        <f t="shared" si="99"/>
        <v>619397.47259973828</v>
      </c>
      <c r="HP79" s="576">
        <f>+HR78</f>
        <v>528507.13316666684</v>
      </c>
      <c r="HQ79" s="580">
        <f>+HQ77</f>
        <v>94657.993999999992</v>
      </c>
      <c r="HR79" s="580">
        <f t="shared" si="105"/>
        <v>433849.13916666684</v>
      </c>
      <c r="HS79" s="918">
        <f t="shared" si="108"/>
        <v>151984.26263512718</v>
      </c>
      <c r="HT79" s="576">
        <f>+HV78</f>
        <v>260130</v>
      </c>
      <c r="HU79" s="580">
        <f>+HU77</f>
        <v>39019.5</v>
      </c>
      <c r="HV79" s="580">
        <f t="shared" si="122"/>
        <v>221110.5</v>
      </c>
      <c r="HW79" s="918">
        <f t="shared" si="123"/>
        <v>68235.738495699567</v>
      </c>
      <c r="HY79" s="492"/>
      <c r="HZ79" s="476"/>
      <c r="IA79" s="476"/>
      <c r="IB79" s="493"/>
      <c r="IC79" s="492"/>
      <c r="ID79" s="476"/>
      <c r="IE79" s="476"/>
      <c r="IF79" s="493"/>
      <c r="IG79" s="492"/>
      <c r="IH79" s="476"/>
      <c r="II79" s="476"/>
      <c r="IJ79" s="493"/>
    </row>
    <row r="80" spans="1:244">
      <c r="A80" s="554" t="s">
        <v>23</v>
      </c>
      <c r="B80" s="574">
        <v>2026</v>
      </c>
      <c r="C80" s="575">
        <f>+C79</f>
        <v>11924935.574431814</v>
      </c>
      <c r="D80" s="575">
        <f>+D79</f>
        <v>445791.98409090913</v>
      </c>
      <c r="E80" s="575">
        <f t="shared" si="6"/>
        <v>11479143.590340905</v>
      </c>
      <c r="F80" s="558">
        <f>+C$29*E80+D80</f>
        <v>1812585.3216957026</v>
      </c>
      <c r="G80" s="575">
        <f>+G79</f>
        <v>3069779.862954543</v>
      </c>
      <c r="H80" s="575">
        <f>+H79</f>
        <v>115840.74954545456</v>
      </c>
      <c r="I80" s="575">
        <f t="shared" si="7"/>
        <v>2953939.1134090885</v>
      </c>
      <c r="J80" s="558">
        <f>+G$29*I80+H80</f>
        <v>467558.99996398168</v>
      </c>
      <c r="K80" s="576">
        <f>+K79</f>
        <v>7864558.8492613565</v>
      </c>
      <c r="L80" s="575">
        <f>+L79</f>
        <v>305419.76113636367</v>
      </c>
      <c r="M80" s="575">
        <f t="shared" si="8"/>
        <v>7559139.0881249933</v>
      </c>
      <c r="N80" s="558">
        <f>+K$29*M80+L80</f>
        <v>1205467.8232906575</v>
      </c>
      <c r="O80" s="576">
        <f>+O79</f>
        <v>3320970.8560606036</v>
      </c>
      <c r="P80" s="575">
        <f>+P79</f>
        <v>119316.31818181818</v>
      </c>
      <c r="Q80" s="575">
        <f t="shared" si="11"/>
        <v>3201654.5378787853</v>
      </c>
      <c r="R80" s="558">
        <f>+O$29*Q80+P80</f>
        <v>500529.43371136446</v>
      </c>
      <c r="S80" s="492">
        <f>+S79</f>
        <v>1525927.6260606037</v>
      </c>
      <c r="T80" s="476">
        <f>+T79</f>
        <v>58315.705454545445</v>
      </c>
      <c r="U80" s="476">
        <f t="shared" si="12"/>
        <v>1467611.9206060581</v>
      </c>
      <c r="V80" s="493">
        <f>+S$29*U80+T80</f>
        <v>233060.63999492468</v>
      </c>
      <c r="W80" s="492">
        <f>+W79</f>
        <v>19296672.246212125</v>
      </c>
      <c r="X80" s="476">
        <f>+X79</f>
        <v>693293.61363636365</v>
      </c>
      <c r="Y80" s="476">
        <f t="shared" si="13"/>
        <v>18603378.632575762</v>
      </c>
      <c r="Z80" s="493">
        <f>+W$29*Y80+X80</f>
        <v>2908352.0604476212</v>
      </c>
      <c r="AA80" s="492">
        <f>+AA79</f>
        <v>12585762.831439391</v>
      </c>
      <c r="AB80" s="476">
        <f>+AB79</f>
        <v>450833.29545454547</v>
      </c>
      <c r="AC80" s="476">
        <f t="shared" si="14"/>
        <v>12134929.535984846</v>
      </c>
      <c r="AD80" s="493">
        <f>+AA$29*AC80+AB80</f>
        <v>1895709.4494599637</v>
      </c>
      <c r="AE80" s="492">
        <f>+AE79</f>
        <v>126441.87500000015</v>
      </c>
      <c r="AF80" s="476">
        <f>+AF79</f>
        <v>4597.886363636364</v>
      </c>
      <c r="AG80" s="476">
        <f t="shared" si="15"/>
        <v>121843.98863636378</v>
      </c>
      <c r="AH80" s="493">
        <f>+AE$29*AG80+AF80</f>
        <v>19105.549812981757</v>
      </c>
      <c r="AI80" s="492">
        <f>+AI79</f>
        <v>8521617.6174242441</v>
      </c>
      <c r="AJ80" s="476">
        <f>+AJ79</f>
        <v>295547.43181818182</v>
      </c>
      <c r="AK80" s="476">
        <f t="shared" si="19"/>
        <v>8226070.1856060624</v>
      </c>
      <c r="AL80" s="493">
        <f>+AI$29*AK80+AJ80</f>
        <v>1275005.3361357539</v>
      </c>
      <c r="AM80" s="492">
        <f>+AM79</f>
        <v>3159707.0969318179</v>
      </c>
      <c r="AN80" s="476">
        <f>+AN79</f>
        <v>110866.91568181818</v>
      </c>
      <c r="AO80" s="476">
        <f t="shared" si="16"/>
        <v>3048840.1812499999</v>
      </c>
      <c r="AP80" s="493">
        <f>+AM$29*AO80+AN80</f>
        <v>473884.80236987351</v>
      </c>
      <c r="AQ80" s="492">
        <f>+AQ79</f>
        <v>26016801.821590912</v>
      </c>
      <c r="AR80" s="476">
        <f>+AR79</f>
        <v>904932.23727272719</v>
      </c>
      <c r="AS80" s="476">
        <f t="shared" si="17"/>
        <v>25111869.584318183</v>
      </c>
      <c r="AT80" s="493">
        <f>+AQ$29*AS80+AR80</f>
        <v>3894940.6619018367</v>
      </c>
      <c r="AU80" s="575"/>
      <c r="AV80" s="575"/>
      <c r="AW80" s="575"/>
      <c r="AX80" s="558"/>
      <c r="AY80" s="575"/>
      <c r="AZ80" s="575"/>
      <c r="BA80" s="575"/>
      <c r="BB80" s="558"/>
      <c r="BC80" s="575"/>
      <c r="BD80" s="575"/>
      <c r="BE80" s="575"/>
      <c r="BF80" s="558"/>
      <c r="BG80" s="575"/>
      <c r="BH80" s="575"/>
      <c r="BI80" s="575"/>
      <c r="BJ80" s="558"/>
      <c r="BK80" s="575"/>
      <c r="BL80" s="575"/>
      <c r="BM80" s="575"/>
      <c r="BN80" s="558"/>
      <c r="BO80" s="575"/>
      <c r="BP80" s="575"/>
      <c r="BQ80" s="575"/>
      <c r="BR80" s="558"/>
      <c r="BS80" s="492">
        <f>+BS79</f>
        <v>241015.7045454547</v>
      </c>
      <c r="BT80" s="476">
        <f>+BT79</f>
        <v>8310.886363636364</v>
      </c>
      <c r="BU80" s="476">
        <f t="shared" si="18"/>
        <v>232704.81818181835</v>
      </c>
      <c r="BV80" s="493">
        <f>+BS$29*BU80+BT80</f>
        <v>36018.475576744073</v>
      </c>
      <c r="BW80" s="492">
        <f>+BW79</f>
        <v>17016816.204545464</v>
      </c>
      <c r="BX80" s="476">
        <f>+BX79</f>
        <v>576841.22727272729</v>
      </c>
      <c r="BY80" s="476">
        <f t="shared" si="20"/>
        <v>16439974.977272738</v>
      </c>
      <c r="BZ80" s="493">
        <f>+BW$29*BY80+BX80</f>
        <v>2427148.4060003995</v>
      </c>
      <c r="CA80" s="492">
        <f>+CA79</f>
        <v>1610336.8000000012</v>
      </c>
      <c r="CB80" s="476">
        <f>+CB79</f>
        <v>54433.919999999998</v>
      </c>
      <c r="CC80" s="476">
        <f t="shared" si="21"/>
        <v>1555902.8800000013</v>
      </c>
      <c r="CD80" s="493">
        <f>+CA$29*CC80+CB80</f>
        <v>239691.4414873636</v>
      </c>
      <c r="CE80" s="492">
        <f>+CE79</f>
        <v>138207.10090909101</v>
      </c>
      <c r="CF80" s="476">
        <f>+CF79</f>
        <v>4725.0290909090909</v>
      </c>
      <c r="CG80" s="476">
        <f t="shared" si="22"/>
        <v>133482.07181818192</v>
      </c>
      <c r="CH80" s="493">
        <f>+CE$29*CG80+CF80</f>
        <v>20618.410423318881</v>
      </c>
      <c r="CI80" s="492">
        <f>+CI79</f>
        <v>372942.27272727247</v>
      </c>
      <c r="CJ80" s="476">
        <f>+CJ79</f>
        <v>12362.727272727272</v>
      </c>
      <c r="CK80" s="476">
        <f t="shared" si="23"/>
        <v>360579.54545454518</v>
      </c>
      <c r="CL80" s="493">
        <f>+CI$29*CK80+CJ80</f>
        <v>52945.691807603122</v>
      </c>
      <c r="CM80" s="492">
        <f>+CM79</f>
        <v>16808284.798011366</v>
      </c>
      <c r="CN80" s="476">
        <f>+CN79</f>
        <v>483691.64886363636</v>
      </c>
      <c r="CO80" s="476">
        <f t="shared" si="33"/>
        <v>16324593.14914773</v>
      </c>
      <c r="CP80" s="493">
        <f>+CM$29*CO80+CN80</f>
        <v>2321012.6870911215</v>
      </c>
      <c r="CQ80" s="492">
        <f>+CQ79</f>
        <v>70116324.760056779</v>
      </c>
      <c r="CR80" s="476">
        <f>+CR79</f>
        <v>2017735.9643181816</v>
      </c>
      <c r="CS80" s="476">
        <f t="shared" si="38"/>
        <v>68098588.795738593</v>
      </c>
      <c r="CT80" s="493">
        <f>+CQ$29*CS80+CR80</f>
        <v>9682182.4056400713</v>
      </c>
      <c r="CU80" s="492">
        <f>+CU79</f>
        <v>23666838.037500013</v>
      </c>
      <c r="CV80" s="476">
        <f>+CV79</f>
        <v>676195.37250000006</v>
      </c>
      <c r="CW80" s="476">
        <f t="shared" si="39"/>
        <v>22990642.665000014</v>
      </c>
      <c r="CX80" s="493">
        <f>+CU$29*CW80+CV80</f>
        <v>3263775.4159867354</v>
      </c>
      <c r="CY80" s="492">
        <f>+CY79</f>
        <v>26047.197159090952</v>
      </c>
      <c r="CZ80" s="476">
        <f>+CZ79</f>
        <v>733.72386363636497</v>
      </c>
      <c r="DA80" s="476">
        <f t="shared" si="40"/>
        <v>25313.473295454587</v>
      </c>
      <c r="DB80" s="493">
        <f>+CY$29*DA80+CZ80</f>
        <v>3582.7367983799468</v>
      </c>
      <c r="DC80" s="492">
        <f>+DC79</f>
        <v>1569706.2136363643</v>
      </c>
      <c r="DD80" s="476">
        <f>+DD79</f>
        <v>44530.672727272722</v>
      </c>
      <c r="DE80" s="476">
        <f t="shared" si="41"/>
        <v>1525175.5409090917</v>
      </c>
      <c r="DF80" s="493">
        <f>+DC$29*DE80+DD80</f>
        <v>216188.06612752154</v>
      </c>
      <c r="DG80" s="492">
        <f>+DG79</f>
        <v>874701.33829545416</v>
      </c>
      <c r="DH80" s="476">
        <f>+DH79</f>
        <v>24639.474318181816</v>
      </c>
      <c r="DI80" s="476">
        <f t="shared" si="42"/>
        <v>850061.8639772723</v>
      </c>
      <c r="DJ80" s="493">
        <f>+DG$29*DI80+DH80</f>
        <v>120313.31636807408</v>
      </c>
      <c r="DK80" s="492">
        <f>+DK79</f>
        <v>19329668.111704547</v>
      </c>
      <c r="DL80" s="476">
        <f>+DL79</f>
        <v>549658.80886363634</v>
      </c>
      <c r="DM80" s="476">
        <f t="shared" si="43"/>
        <v>18780009.302840911</v>
      </c>
      <c r="DN80" s="493">
        <f>+DK$29*DM80+DL80</f>
        <v>2663335.1421705354</v>
      </c>
      <c r="DO80" s="492">
        <f>+DO79</f>
        <v>708602.78973484808</v>
      </c>
      <c r="DP80" s="476">
        <f t="shared" si="128"/>
        <v>19592.703863636354</v>
      </c>
      <c r="DQ80" s="476">
        <f t="shared" si="57"/>
        <v>689010.08587121172</v>
      </c>
      <c r="DR80" s="493">
        <f t="shared" si="62"/>
        <v>97140.285892545595</v>
      </c>
      <c r="DS80" s="492">
        <f>+DS79</f>
        <v>302794.9745454535</v>
      </c>
      <c r="DT80" s="476">
        <f t="shared" si="129"/>
        <v>8295.7527272726966</v>
      </c>
      <c r="DU80" s="476">
        <f t="shared" si="58"/>
        <v>294499.22181818081</v>
      </c>
      <c r="DV80" s="493">
        <f t="shared" si="63"/>
        <v>41441.425090716279</v>
      </c>
      <c r="DW80" s="492">
        <f>+DW79</f>
        <v>44288.92357954543</v>
      </c>
      <c r="DX80" s="476">
        <f t="shared" si="130"/>
        <v>1221.7634090909089</v>
      </c>
      <c r="DY80" s="476">
        <f t="shared" si="59"/>
        <v>43067.160170454517</v>
      </c>
      <c r="DZ80" s="493">
        <f t="shared" si="64"/>
        <v>6068.9408373394035</v>
      </c>
      <c r="EA80" s="492">
        <f>+EA79</f>
        <v>-262857.80039772898</v>
      </c>
      <c r="EB80" s="476">
        <f t="shared" si="131"/>
        <v>-7120.3015909091364</v>
      </c>
      <c r="EC80" s="476">
        <f t="shared" si="60"/>
        <v>-255737.49880681984</v>
      </c>
      <c r="ED80" s="493">
        <f t="shared" si="65"/>
        <v>-35903.370334400453</v>
      </c>
      <c r="EE80" s="576">
        <f>+EE79</f>
        <v>7395033.2231818214</v>
      </c>
      <c r="EF80" s="580">
        <f t="shared" si="132"/>
        <v>192495.44181818186</v>
      </c>
      <c r="EG80" s="580">
        <f t="shared" si="69"/>
        <v>7202537.78136364</v>
      </c>
      <c r="EH80" s="493">
        <f t="shared" si="91"/>
        <v>1003135.8096008616</v>
      </c>
      <c r="EI80" s="576">
        <f>+EI79</f>
        <v>298869.16178030299</v>
      </c>
      <c r="EJ80" s="580">
        <f t="shared" si="133"/>
        <v>7696.2015909090906</v>
      </c>
      <c r="EK80" s="580">
        <f t="shared" si="70"/>
        <v>291172.9601893939</v>
      </c>
      <c r="EL80" s="493">
        <f t="shared" si="92"/>
        <v>40467.505636969036</v>
      </c>
      <c r="EM80" s="576">
        <f>+EM79</f>
        <v>10189781.895681817</v>
      </c>
      <c r="EN80" s="580">
        <f t="shared" si="134"/>
        <v>261276.45886363636</v>
      </c>
      <c r="EO80" s="580">
        <f t="shared" si="71"/>
        <v>9928505.4368181806</v>
      </c>
      <c r="EP80" s="493">
        <f t="shared" si="93"/>
        <v>1378722.4956841236</v>
      </c>
      <c r="EQ80" s="576">
        <f>+EQ79</f>
        <v>19772910.233409084</v>
      </c>
      <c r="ER80" s="580">
        <f t="shared" si="135"/>
        <v>500580.00590909086</v>
      </c>
      <c r="ES80" s="580">
        <f t="shared" si="94"/>
        <v>19272330.227499992</v>
      </c>
      <c r="ET80" s="493">
        <f t="shared" si="106"/>
        <v>2669666.6997788171</v>
      </c>
      <c r="EU80" s="576">
        <f>+EU79</f>
        <v>25549219.180454548</v>
      </c>
      <c r="EV80" s="580">
        <f t="shared" si="136"/>
        <v>646815.67545454553</v>
      </c>
      <c r="EW80" s="580">
        <f t="shared" si="95"/>
        <v>24902403.505000003</v>
      </c>
      <c r="EX80" s="493">
        <f t="shared" si="107"/>
        <v>3449563.0054579927</v>
      </c>
      <c r="EY80" s="582">
        <f t="shared" si="103"/>
        <v>44383315.07190749</v>
      </c>
      <c r="EZ80" s="579">
        <f>+EY80</f>
        <v>44383315.07190749</v>
      </c>
      <c r="FA80" s="553"/>
      <c r="FD80" s="492"/>
      <c r="FE80" s="476"/>
      <c r="FF80" s="476"/>
      <c r="FG80" s="493"/>
      <c r="FH80" s="492"/>
      <c r="FI80" s="476"/>
      <c r="FJ80" s="476"/>
      <c r="FK80" s="493"/>
      <c r="FL80" s="492"/>
      <c r="FM80" s="476"/>
      <c r="FN80" s="476"/>
      <c r="FO80" s="493"/>
      <c r="FP80" s="492"/>
      <c r="FQ80" s="476"/>
      <c r="FR80" s="476"/>
      <c r="FS80" s="493"/>
      <c r="FT80" s="492"/>
      <c r="FU80" s="476"/>
      <c r="FV80" s="476"/>
      <c r="FW80" s="493"/>
      <c r="FX80" s="492"/>
      <c r="FY80" s="476"/>
      <c r="FZ80" s="476"/>
      <c r="GA80" s="493"/>
      <c r="GB80" s="492"/>
      <c r="GC80" s="476"/>
      <c r="GD80" s="476"/>
      <c r="GE80" s="493"/>
      <c r="GF80" s="492"/>
      <c r="GG80" s="476"/>
      <c r="GH80" s="476"/>
      <c r="GI80" s="493"/>
      <c r="GJ80" s="492"/>
      <c r="GK80" s="476"/>
      <c r="GL80" s="476"/>
      <c r="GM80" s="493"/>
      <c r="GN80" s="492"/>
      <c r="GO80" s="476"/>
      <c r="GP80" s="476"/>
      <c r="GQ80" s="493"/>
      <c r="GR80" s="492">
        <f>+GR79</f>
        <v>87803.095499999792</v>
      </c>
      <c r="GS80" s="476">
        <f>+GS79</f>
        <v>87802.995500000005</v>
      </c>
      <c r="GT80" s="476">
        <f>+GR80-GS80</f>
        <v>9.9999999787542038E-2</v>
      </c>
      <c r="GU80" s="493">
        <f>+GR$29*GT80+GS80</f>
        <v>87803.008713410687</v>
      </c>
      <c r="GV80" s="492">
        <f>+GV79</f>
        <v>5222979.5144166714</v>
      </c>
      <c r="GW80" s="476">
        <f>+GW78</f>
        <v>3686809.0689999992</v>
      </c>
      <c r="GX80" s="476">
        <f t="shared" si="126"/>
        <v>1536170.4454166722</v>
      </c>
      <c r="GY80" s="493">
        <f t="shared" si="127"/>
        <v>3889789.5792124881</v>
      </c>
      <c r="GZ80" s="492">
        <f>+GZ79</f>
        <v>21408127.06933333</v>
      </c>
      <c r="HA80" s="476">
        <f>+HA78</f>
        <v>8028047.6510000005</v>
      </c>
      <c r="HB80" s="476">
        <f t="shared" si="61"/>
        <v>13380079.418333329</v>
      </c>
      <c r="HC80" s="493">
        <f t="shared" si="66"/>
        <v>9796012.4983384479</v>
      </c>
      <c r="HD80" s="576">
        <f>+HD79</f>
        <v>-163981.22500000009</v>
      </c>
      <c r="HE80" s="580">
        <f>+HE78</f>
        <v>-53183.1</v>
      </c>
      <c r="HF80" s="580">
        <f t="shared" si="67"/>
        <v>-110798.12500000009</v>
      </c>
      <c r="HG80" s="918">
        <f t="shared" si="84"/>
        <v>-67823.311319120243</v>
      </c>
      <c r="HH80" s="576">
        <f>+HH79</f>
        <v>432521.33333333337</v>
      </c>
      <c r="HI80" s="575">
        <f>+HI78</f>
        <v>129756.4</v>
      </c>
      <c r="HJ80" s="575">
        <f t="shared" si="68"/>
        <v>302764.93333333335</v>
      </c>
      <c r="HK80" s="918">
        <f t="shared" si="85"/>
        <v>169761.97413782362</v>
      </c>
      <c r="HL80" s="576">
        <f>+HL79</f>
        <v>1797059.8916666673</v>
      </c>
      <c r="HM80" s="580">
        <f>+HM78</f>
        <v>440096.3</v>
      </c>
      <c r="HN80" s="580">
        <f t="shared" si="86"/>
        <v>1356963.5916666673</v>
      </c>
      <c r="HO80" s="918">
        <f t="shared" si="99"/>
        <v>619397.47259973828</v>
      </c>
      <c r="HP80" s="576">
        <f>+HP79</f>
        <v>528507.13316666684</v>
      </c>
      <c r="HQ80" s="580">
        <f>+HQ78</f>
        <v>94657.993999999992</v>
      </c>
      <c r="HR80" s="580">
        <f t="shared" si="105"/>
        <v>433849.13916666684</v>
      </c>
      <c r="HS80" s="918">
        <f t="shared" si="108"/>
        <v>151984.26263512718</v>
      </c>
      <c r="HT80" s="576">
        <f>+HT79</f>
        <v>260130</v>
      </c>
      <c r="HU80" s="580">
        <f>+HU78</f>
        <v>39019.5</v>
      </c>
      <c r="HV80" s="580">
        <f t="shared" si="122"/>
        <v>221110.5</v>
      </c>
      <c r="HW80" s="918">
        <f t="shared" si="123"/>
        <v>68235.738495699567</v>
      </c>
      <c r="HY80" s="492"/>
      <c r="HZ80" s="476"/>
      <c r="IA80" s="476"/>
      <c r="IB80" s="493"/>
      <c r="IC80" s="492"/>
      <c r="ID80" s="476"/>
      <c r="IE80" s="476"/>
      <c r="IF80" s="493"/>
      <c r="IG80" s="492"/>
      <c r="IH80" s="476"/>
      <c r="II80" s="476"/>
      <c r="IJ80" s="493"/>
    </row>
    <row r="81" spans="1:244">
      <c r="A81" s="554" t="s">
        <v>24</v>
      </c>
      <c r="B81" s="574">
        <v>2027</v>
      </c>
      <c r="C81" s="575">
        <f>+E80</f>
        <v>11479143.590340905</v>
      </c>
      <c r="D81" s="575">
        <f>+C$31</f>
        <v>445791.98409090913</v>
      </c>
      <c r="E81" s="575">
        <f t="shared" si="6"/>
        <v>11033351.606249996</v>
      </c>
      <c r="F81" s="558">
        <f>+C$28*E81+D81</f>
        <v>1687587.6504890318</v>
      </c>
      <c r="G81" s="575">
        <f>+I80</f>
        <v>2953939.1134090885</v>
      </c>
      <c r="H81" s="575">
        <f>+G$31</f>
        <v>115840.74954545456</v>
      </c>
      <c r="I81" s="575">
        <f t="shared" si="7"/>
        <v>2838098.3638636339</v>
      </c>
      <c r="J81" s="558">
        <f>+G$28*I81+H81</f>
        <v>435266.6479334886</v>
      </c>
      <c r="K81" s="576">
        <f>+M80</f>
        <v>7559139.0881249933</v>
      </c>
      <c r="L81" s="575">
        <f>+K$31</f>
        <v>305419.76113636367</v>
      </c>
      <c r="M81" s="575">
        <f t="shared" si="8"/>
        <v>7253719.32698863</v>
      </c>
      <c r="N81" s="558">
        <f>+K$28*M81+L81</f>
        <v>1121820.5745048316</v>
      </c>
      <c r="O81" s="576">
        <f>+Q80</f>
        <v>3201654.5378787853</v>
      </c>
      <c r="P81" s="575">
        <f>+O$31</f>
        <v>119316.31818181818</v>
      </c>
      <c r="Q81" s="575">
        <f t="shared" si="11"/>
        <v>3082338.2196969669</v>
      </c>
      <c r="R81" s="558">
        <f>+O$28*Q81+P81</f>
        <v>466231.23399260239</v>
      </c>
      <c r="S81" s="492">
        <f>+U80</f>
        <v>1467611.9206060581</v>
      </c>
      <c r="T81" s="476">
        <f>+S$31</f>
        <v>58315.705454545445</v>
      </c>
      <c r="U81" s="476">
        <f t="shared" si="12"/>
        <v>1409296.2151515125</v>
      </c>
      <c r="V81" s="493">
        <f>+S$28*U81+T81</f>
        <v>216930.96535934898</v>
      </c>
      <c r="W81" s="492">
        <f>+Y80</f>
        <v>18603378.632575762</v>
      </c>
      <c r="X81" s="476">
        <f>+W$31</f>
        <v>693293.61363636365</v>
      </c>
      <c r="Y81" s="476">
        <f t="shared" si="13"/>
        <v>17910085.018939398</v>
      </c>
      <c r="Z81" s="493">
        <f>+W$28*Y81+X81</f>
        <v>2709060.6040350334</v>
      </c>
      <c r="AA81" s="492">
        <f>+AC80</f>
        <v>12134929.535984846</v>
      </c>
      <c r="AB81" s="476">
        <f>+AA$31</f>
        <v>450833.29545454547</v>
      </c>
      <c r="AC81" s="476">
        <f t="shared" si="14"/>
        <v>11684096.240530301</v>
      </c>
      <c r="AD81" s="493">
        <f>+AA$28*AC81+AB81</f>
        <v>1765869.7952476048</v>
      </c>
      <c r="AE81" s="492">
        <f>+AG80</f>
        <v>121843.98863636378</v>
      </c>
      <c r="AF81" s="476">
        <f>+AE$31</f>
        <v>4597.886363636364</v>
      </c>
      <c r="AG81" s="476">
        <f t="shared" si="15"/>
        <v>117246.10227272741</v>
      </c>
      <c r="AH81" s="493">
        <f>+AE$28*AG81+AF81</f>
        <v>17793.849557800255</v>
      </c>
      <c r="AI81" s="492">
        <f>+AK80</f>
        <v>8226070.1856060624</v>
      </c>
      <c r="AJ81" s="476">
        <f>+AI$31</f>
        <v>295547.43181818182</v>
      </c>
      <c r="AK81" s="476">
        <f t="shared" si="19"/>
        <v>7930522.7537878808</v>
      </c>
      <c r="AL81" s="493">
        <f>+AI$28*AK81+AJ81</f>
        <v>1188121.9766506795</v>
      </c>
      <c r="AM81" s="492">
        <f>+AO80</f>
        <v>3048840.1812499999</v>
      </c>
      <c r="AN81" s="476">
        <f>+AM$31</f>
        <v>110866.91568181818</v>
      </c>
      <c r="AO81" s="476">
        <f t="shared" si="16"/>
        <v>2937973.2655681819</v>
      </c>
      <c r="AP81" s="493">
        <f>+AM$28*AO81+AN81</f>
        <v>441533.66132504086</v>
      </c>
      <c r="AQ81" s="492">
        <f>+AS80</f>
        <v>25111869.584318183</v>
      </c>
      <c r="AR81" s="476">
        <f>+AQ$31</f>
        <v>904932.23727272719</v>
      </c>
      <c r="AS81" s="476">
        <f t="shared" si="17"/>
        <v>24206937.347045455</v>
      </c>
      <c r="AT81" s="493">
        <f>+AQ$28*AS81+AR81</f>
        <v>3629405.3590487042</v>
      </c>
      <c r="AU81" s="575"/>
      <c r="AV81" s="575"/>
      <c r="AW81" s="575"/>
      <c r="AX81" s="558"/>
      <c r="AY81" s="575"/>
      <c r="AZ81" s="575"/>
      <c r="BA81" s="575"/>
      <c r="BB81" s="558"/>
      <c r="BC81" s="575"/>
      <c r="BD81" s="575"/>
      <c r="BE81" s="575"/>
      <c r="BF81" s="558"/>
      <c r="BG81" s="575"/>
      <c r="BH81" s="575"/>
      <c r="BI81" s="575"/>
      <c r="BJ81" s="558"/>
      <c r="BK81" s="575"/>
      <c r="BL81" s="575"/>
      <c r="BM81" s="575"/>
      <c r="BN81" s="558"/>
      <c r="BO81" s="575"/>
      <c r="BP81" s="575"/>
      <c r="BQ81" s="575"/>
      <c r="BR81" s="558"/>
      <c r="BS81" s="492">
        <f>+BU80</f>
        <v>232704.81818181835</v>
      </c>
      <c r="BT81" s="476">
        <f>+BS$31</f>
        <v>8310.886363636364</v>
      </c>
      <c r="BU81" s="476">
        <f t="shared" si="18"/>
        <v>224393.931818182</v>
      </c>
      <c r="BV81" s="493">
        <f>+BS$28*BU81+BT81</f>
        <v>33566.25953057217</v>
      </c>
      <c r="BW81" s="492">
        <f>+BY80</f>
        <v>16439974.977272738</v>
      </c>
      <c r="BX81" s="476">
        <f>+BW$31</f>
        <v>576841.22727272729</v>
      </c>
      <c r="BY81" s="476">
        <f t="shared" si="20"/>
        <v>15863133.750000011</v>
      </c>
      <c r="BZ81" s="493">
        <f>+BW$28*BY81+BX81</f>
        <v>2362225.3470976744</v>
      </c>
      <c r="CA81" s="492">
        <f>+CC80</f>
        <v>1555902.8800000013</v>
      </c>
      <c r="CB81" s="476">
        <f>+CA$31</f>
        <v>54433.919999999998</v>
      </c>
      <c r="CC81" s="476">
        <f t="shared" si="21"/>
        <v>1501468.9600000014</v>
      </c>
      <c r="CD81" s="493">
        <f>+CA$28*CC81+CB81</f>
        <v>223423.15503018937</v>
      </c>
      <c r="CE81" s="492">
        <f>+CG80</f>
        <v>133482.07181818192</v>
      </c>
      <c r="CF81" s="476">
        <f>+CE$31</f>
        <v>4725.0290909090909</v>
      </c>
      <c r="CG81" s="476">
        <f t="shared" si="22"/>
        <v>128757.04272727284</v>
      </c>
      <c r="CH81" s="493">
        <f>+CE$28*CG81+CF81</f>
        <v>19216.540227597008</v>
      </c>
      <c r="CI81" s="492">
        <f>+CK80</f>
        <v>360579.54545454518</v>
      </c>
      <c r="CJ81" s="476">
        <f>+CI$31</f>
        <v>12362.727272727272</v>
      </c>
      <c r="CK81" s="476">
        <f t="shared" si="23"/>
        <v>348216.81818181789</v>
      </c>
      <c r="CL81" s="493">
        <f>+CI$28*CK81+CJ81</f>
        <v>51554.275880693094</v>
      </c>
      <c r="CM81" s="492">
        <f>+CO80</f>
        <v>16324593.14914773</v>
      </c>
      <c r="CN81" s="476">
        <f>+CM$31</f>
        <v>483691.64886363636</v>
      </c>
      <c r="CO81" s="476">
        <f t="shared" si="33"/>
        <v>15840901.500284094</v>
      </c>
      <c r="CP81" s="493">
        <f>+CM$28*CO81+CN81</f>
        <v>2266573.5452177147</v>
      </c>
      <c r="CQ81" s="492">
        <f>+CS80</f>
        <v>68098588.795738593</v>
      </c>
      <c r="CR81" s="476">
        <f>+CQ$31</f>
        <v>2017735.9643181816</v>
      </c>
      <c r="CS81" s="476">
        <f t="shared" si="38"/>
        <v>66080852.831420414</v>
      </c>
      <c r="CT81" s="493">
        <f>+CQ$28*CS81+CR81</f>
        <v>9455087.6962675713</v>
      </c>
      <c r="CU81" s="492">
        <f>+CW80</f>
        <v>22990642.665000014</v>
      </c>
      <c r="CV81" s="476">
        <f>+CU$31</f>
        <v>676195.37250000006</v>
      </c>
      <c r="CW81" s="476">
        <f t="shared" si="39"/>
        <v>22314447.292500015</v>
      </c>
      <c r="CX81" s="493">
        <f>+CU$28*CW81+CV81</f>
        <v>3187670.1205900665</v>
      </c>
      <c r="CY81" s="492">
        <f>+DA80</f>
        <v>25313.473295454587</v>
      </c>
      <c r="CZ81" s="476">
        <f>+CY$31</f>
        <v>733.72386363636497</v>
      </c>
      <c r="DA81" s="476">
        <f t="shared" si="40"/>
        <v>24579.749431818222</v>
      </c>
      <c r="DB81" s="493">
        <f>+CY$28*DA81+CZ81</f>
        <v>3500.1567133149151</v>
      </c>
      <c r="DC81" s="492">
        <f>+DE80</f>
        <v>1525175.5409090917</v>
      </c>
      <c r="DD81" s="476">
        <f>+DC$31</f>
        <v>44530.672727272722</v>
      </c>
      <c r="DE81" s="476">
        <f t="shared" si="41"/>
        <v>1480644.8681818191</v>
      </c>
      <c r="DF81" s="493">
        <f>+DC$28*DE81+DD81</f>
        <v>211176.17142970409</v>
      </c>
      <c r="DG81" s="492">
        <f>+DI80</f>
        <v>850061.8639772723</v>
      </c>
      <c r="DH81" s="476">
        <f>+DG$31</f>
        <v>24639.474318181816</v>
      </c>
      <c r="DI81" s="476">
        <f t="shared" si="42"/>
        <v>825422.38965909043</v>
      </c>
      <c r="DJ81" s="493">
        <f>+DG$28*DI81+DH81</f>
        <v>117540.16152604821</v>
      </c>
      <c r="DK81" s="492">
        <f>+DM80</f>
        <v>18780009.302840911</v>
      </c>
      <c r="DL81" s="476">
        <f>+DK$31</f>
        <v>549658.80886363634</v>
      </c>
      <c r="DM81" s="476">
        <f t="shared" si="43"/>
        <v>18230350.493977275</v>
      </c>
      <c r="DN81" s="493">
        <f>+DK$28*DM81+DL81</f>
        <v>2601471.4446103331</v>
      </c>
      <c r="DO81" s="492">
        <f>+DQ80</f>
        <v>689010.08587121172</v>
      </c>
      <c r="DP81" s="476">
        <f t="shared" si="128"/>
        <v>19592.703863636354</v>
      </c>
      <c r="DQ81" s="476">
        <f t="shared" si="57"/>
        <v>669417.38200757536</v>
      </c>
      <c r="DR81" s="493">
        <f t="shared" si="62"/>
        <v>94935.141379875189</v>
      </c>
      <c r="DS81" s="492">
        <f>+DU80</f>
        <v>294499.22181818081</v>
      </c>
      <c r="DT81" s="476">
        <f t="shared" si="129"/>
        <v>8295.7527272726966</v>
      </c>
      <c r="DU81" s="476">
        <f t="shared" si="58"/>
        <v>286203.46909090813</v>
      </c>
      <c r="DV81" s="493">
        <f t="shared" si="63"/>
        <v>40507.744179069989</v>
      </c>
      <c r="DW81" s="492">
        <f>+DY80</f>
        <v>43067.160170454517</v>
      </c>
      <c r="DX81" s="476">
        <f t="shared" si="130"/>
        <v>1221.7634090909089</v>
      </c>
      <c r="DY81" s="476">
        <f t="shared" si="59"/>
        <v>41845.396761363605</v>
      </c>
      <c r="DZ81" s="493">
        <f t="shared" si="64"/>
        <v>5931.432257814623</v>
      </c>
      <c r="EA81" s="492">
        <f>+EC80</f>
        <v>-255737.49880681984</v>
      </c>
      <c r="EB81" s="476">
        <f t="shared" si="131"/>
        <v>-7120.3015909091364</v>
      </c>
      <c r="EC81" s="476">
        <f t="shared" si="60"/>
        <v>-248617.19721591071</v>
      </c>
      <c r="ED81" s="493">
        <f t="shared" si="65"/>
        <v>-35101.985589802083</v>
      </c>
      <c r="EE81" s="576">
        <f>+EG80</f>
        <v>7202537.78136364</v>
      </c>
      <c r="EF81" s="580">
        <f t="shared" si="132"/>
        <v>192495.44181818186</v>
      </c>
      <c r="EG81" s="580">
        <f t="shared" si="69"/>
        <v>7010042.3395454586</v>
      </c>
      <c r="EH81" s="493">
        <f t="shared" si="91"/>
        <v>981470.58819018875</v>
      </c>
      <c r="EI81" s="576">
        <f>+EK80</f>
        <v>291172.9601893939</v>
      </c>
      <c r="EJ81" s="580">
        <f t="shared" si="133"/>
        <v>7696.2015909090906</v>
      </c>
      <c r="EK81" s="580">
        <f t="shared" si="70"/>
        <v>283476.7585984848</v>
      </c>
      <c r="EL81" s="493">
        <f t="shared" si="92"/>
        <v>39601.303767910176</v>
      </c>
      <c r="EM81" s="576">
        <f>+EO80</f>
        <v>9928505.4368181806</v>
      </c>
      <c r="EN81" s="580">
        <f t="shared" si="134"/>
        <v>261276.45886363636</v>
      </c>
      <c r="EO81" s="580">
        <f t="shared" si="71"/>
        <v>9667228.9779545441</v>
      </c>
      <c r="EP81" s="493">
        <f t="shared" si="93"/>
        <v>1349316.0210309532</v>
      </c>
      <c r="EQ81" s="576">
        <f>+ES80</f>
        <v>19272330.227499992</v>
      </c>
      <c r="ER81" s="580">
        <f t="shared" si="135"/>
        <v>500580.00590909086</v>
      </c>
      <c r="ES81" s="580">
        <f t="shared" si="94"/>
        <v>18771750.221590899</v>
      </c>
      <c r="ET81" s="493">
        <f t="shared" si="106"/>
        <v>2613326.7856523301</v>
      </c>
      <c r="EU81" s="576">
        <f>+EW80</f>
        <v>24902403.505000003</v>
      </c>
      <c r="EV81" s="580">
        <f t="shared" si="136"/>
        <v>646815.67545454553</v>
      </c>
      <c r="EW81" s="580">
        <f t="shared" si="95"/>
        <v>24255587.829545457</v>
      </c>
      <c r="EX81" s="493">
        <f t="shared" si="107"/>
        <v>3376764.3735098513</v>
      </c>
      <c r="EY81" s="582">
        <f t="shared" si="103"/>
        <v>42679378.59664385</v>
      </c>
      <c r="EZ81" s="557"/>
      <c r="FA81" s="578">
        <f>+EY81</f>
        <v>42679378.59664385</v>
      </c>
      <c r="FD81" s="492"/>
      <c r="FE81" s="476"/>
      <c r="FF81" s="476"/>
      <c r="FG81" s="493"/>
      <c r="FH81" s="492"/>
      <c r="FI81" s="476"/>
      <c r="FJ81" s="476"/>
      <c r="FK81" s="493"/>
      <c r="FL81" s="492"/>
      <c r="FM81" s="476"/>
      <c r="FN81" s="476"/>
      <c r="FO81" s="493"/>
      <c r="FP81" s="492"/>
      <c r="FQ81" s="476"/>
      <c r="FR81" s="476"/>
      <c r="FS81" s="493"/>
      <c r="FT81" s="492"/>
      <c r="FU81" s="476"/>
      <c r="FV81" s="476"/>
      <c r="FW81" s="493"/>
      <c r="FX81" s="492"/>
      <c r="FY81" s="476"/>
      <c r="FZ81" s="476"/>
      <c r="GA81" s="493"/>
      <c r="GB81" s="492"/>
      <c r="GC81" s="476"/>
      <c r="GD81" s="476"/>
      <c r="GE81" s="493"/>
      <c r="GF81" s="492"/>
      <c r="GG81" s="476"/>
      <c r="GH81" s="476"/>
      <c r="GI81" s="493"/>
      <c r="GJ81" s="492"/>
      <c r="GK81" s="476"/>
      <c r="GL81" s="476"/>
      <c r="GM81" s="493"/>
      <c r="GN81" s="492"/>
      <c r="GO81" s="476"/>
      <c r="GP81" s="476"/>
      <c r="GQ81" s="493"/>
      <c r="GR81" s="492"/>
      <c r="GS81" s="476"/>
      <c r="GT81" s="476"/>
      <c r="GU81" s="493"/>
      <c r="GV81" s="492">
        <f>+GX80</f>
        <v>1536170.4454166722</v>
      </c>
      <c r="GW81" s="476">
        <f>+GV$31/12*(12-7)-0.1</f>
        <v>1536170.3454166662</v>
      </c>
      <c r="GX81" s="476">
        <f t="shared" si="126"/>
        <v>0.10000000591389835</v>
      </c>
      <c r="GY81" s="493">
        <f t="shared" si="127"/>
        <v>1536170.3586300777</v>
      </c>
      <c r="GZ81" s="492">
        <f>+HB80</f>
        <v>13380079.418333329</v>
      </c>
      <c r="HA81" s="476">
        <f>+HA79</f>
        <v>8028047.6510000005</v>
      </c>
      <c r="HB81" s="476">
        <f t="shared" si="61"/>
        <v>5352031.7673333287</v>
      </c>
      <c r="HC81" s="493">
        <f t="shared" si="66"/>
        <v>8735233.5899353791</v>
      </c>
      <c r="HD81" s="576">
        <f>+HF80</f>
        <v>-110798.12500000009</v>
      </c>
      <c r="HE81" s="580">
        <f>+HE79</f>
        <v>-53183.1</v>
      </c>
      <c r="HF81" s="580">
        <f t="shared" si="67"/>
        <v>-57615.025000000089</v>
      </c>
      <c r="HG81" s="918">
        <f t="shared" si="84"/>
        <v>-60796.009885942527</v>
      </c>
      <c r="HH81" s="576">
        <f>+HJ80</f>
        <v>302764.93333333335</v>
      </c>
      <c r="HI81" s="575">
        <f>+HI79</f>
        <v>129756.4</v>
      </c>
      <c r="HJ81" s="575">
        <f t="shared" si="68"/>
        <v>173008.53333333335</v>
      </c>
      <c r="HK81" s="918">
        <f t="shared" si="85"/>
        <v>152616.72807875634</v>
      </c>
      <c r="HL81" s="576">
        <f>+HN80</f>
        <v>1356963.5916666673</v>
      </c>
      <c r="HM81" s="580">
        <f>+HM79</f>
        <v>440096.3</v>
      </c>
      <c r="HN81" s="580">
        <f t="shared" si="86"/>
        <v>916867.29166666721</v>
      </c>
      <c r="HO81" s="918">
        <f t="shared" si="99"/>
        <v>561245.74094576912</v>
      </c>
      <c r="HP81" s="576">
        <f>+HR80</f>
        <v>433849.13916666684</v>
      </c>
      <c r="HQ81" s="580">
        <f>+HQ79</f>
        <v>94657.993999999992</v>
      </c>
      <c r="HR81" s="580">
        <f t="shared" si="105"/>
        <v>339191.14516666683</v>
      </c>
      <c r="HS81" s="918">
        <f t="shared" si="108"/>
        <v>139476.71311473579</v>
      </c>
      <c r="HT81" s="576">
        <f>+HV80</f>
        <v>221110.5</v>
      </c>
      <c r="HU81" s="580">
        <f>+HU79</f>
        <v>39019.5</v>
      </c>
      <c r="HV81" s="580">
        <f t="shared" si="122"/>
        <v>182091</v>
      </c>
      <c r="HW81" s="918">
        <f t="shared" si="123"/>
        <v>63079.931702340822</v>
      </c>
      <c r="HY81" s="492"/>
      <c r="HZ81" s="476"/>
      <c r="IA81" s="476"/>
      <c r="IB81" s="493"/>
      <c r="IC81" s="492"/>
      <c r="ID81" s="476"/>
      <c r="IE81" s="476"/>
      <c r="IF81" s="493"/>
      <c r="IG81" s="492"/>
      <c r="IH81" s="476"/>
      <c r="II81" s="476"/>
      <c r="IJ81" s="493"/>
    </row>
    <row r="82" spans="1:244">
      <c r="A82" s="554" t="s">
        <v>23</v>
      </c>
      <c r="B82" s="574">
        <v>2027</v>
      </c>
      <c r="C82" s="575">
        <f>+C81</f>
        <v>11479143.590340905</v>
      </c>
      <c r="D82" s="575">
        <f>+D81</f>
        <v>445791.98409090913</v>
      </c>
      <c r="E82" s="575">
        <f t="shared" si="6"/>
        <v>11033351.606249996</v>
      </c>
      <c r="F82" s="558">
        <f>+C$29*E82+D82</f>
        <v>1759505.9687790116</v>
      </c>
      <c r="G82" s="575">
        <f>+G81</f>
        <v>2953939.1134090885</v>
      </c>
      <c r="H82" s="575">
        <f>+H81</f>
        <v>115840.74954545456</v>
      </c>
      <c r="I82" s="575">
        <f t="shared" si="7"/>
        <v>2838098.3638636339</v>
      </c>
      <c r="J82" s="558">
        <f>+G$29*I82+H82</f>
        <v>453766.12739854923</v>
      </c>
      <c r="K82" s="576">
        <f>+K81</f>
        <v>7559139.0881249933</v>
      </c>
      <c r="L82" s="575">
        <f>+L81</f>
        <v>305419.76113636367</v>
      </c>
      <c r="M82" s="575">
        <f t="shared" si="8"/>
        <v>7253719.32698863</v>
      </c>
      <c r="N82" s="558">
        <f>+K$29*M82+L82</f>
        <v>1169102.2450217973</v>
      </c>
      <c r="O82" s="576">
        <f>+O81</f>
        <v>3201654.5378787853</v>
      </c>
      <c r="P82" s="575">
        <f>+P81</f>
        <v>119316.31818181818</v>
      </c>
      <c r="Q82" s="575">
        <f t="shared" si="11"/>
        <v>3082338.2196969669</v>
      </c>
      <c r="R82" s="558">
        <f>+O$29*Q82+P82</f>
        <v>486322.73375374154</v>
      </c>
      <c r="S82" s="492">
        <f>+S81</f>
        <v>1467611.9206060581</v>
      </c>
      <c r="T82" s="476">
        <f>+T81</f>
        <v>58315.705454545445</v>
      </c>
      <c r="U82" s="476">
        <f t="shared" si="12"/>
        <v>1409296.2151515125</v>
      </c>
      <c r="V82" s="493">
        <f>+S$29*U82+T82</f>
        <v>226117.13266219437</v>
      </c>
      <c r="W82" s="492">
        <f>+W81</f>
        <v>18603378.632575762</v>
      </c>
      <c r="X82" s="476">
        <f>+X81</f>
        <v>693293.61363636365</v>
      </c>
      <c r="Y82" s="476">
        <f t="shared" si="13"/>
        <v>17910085.018939398</v>
      </c>
      <c r="Z82" s="493">
        <f>+W$29*Y82+X82</f>
        <v>2825803.2984546553</v>
      </c>
      <c r="AA82" s="492">
        <f>+AA81</f>
        <v>12134929.535984846</v>
      </c>
      <c r="AB82" s="476">
        <f>+AB81</f>
        <v>450833.29545454547</v>
      </c>
      <c r="AC82" s="476">
        <f t="shared" si="14"/>
        <v>11684096.240530301</v>
      </c>
      <c r="AD82" s="493">
        <f>+AA$29*AC82+AB82</f>
        <v>1842029.8400232301</v>
      </c>
      <c r="AE82" s="492">
        <f>+AE81</f>
        <v>121843.98863636378</v>
      </c>
      <c r="AF82" s="476">
        <f>+AF81</f>
        <v>4597.886363636364</v>
      </c>
      <c r="AG82" s="476">
        <f t="shared" si="15"/>
        <v>117246.10227272741</v>
      </c>
      <c r="AH82" s="493">
        <f>+AE$29*AG82+AF82</f>
        <v>18558.09081489325</v>
      </c>
      <c r="AI82" s="492">
        <f>+AI81</f>
        <v>8226070.1856060624</v>
      </c>
      <c r="AJ82" s="476">
        <f>+AJ81</f>
        <v>295547.43181818182</v>
      </c>
      <c r="AK82" s="476">
        <f t="shared" si="19"/>
        <v>7930522.7537878808</v>
      </c>
      <c r="AL82" s="493">
        <f>+AI$29*AK82+AJ82</f>
        <v>1239815.2317890148</v>
      </c>
      <c r="AM82" s="492">
        <f>+AM81</f>
        <v>3048840.1812499999</v>
      </c>
      <c r="AN82" s="476">
        <f>+AN81</f>
        <v>110866.91568181818</v>
      </c>
      <c r="AO82" s="476">
        <f t="shared" si="16"/>
        <v>2937973.2655681819</v>
      </c>
      <c r="AP82" s="493">
        <f>+AM$29*AO82+AN82</f>
        <v>460684.15194485337</v>
      </c>
      <c r="AQ82" s="492">
        <f>+AQ81</f>
        <v>25111869.584318183</v>
      </c>
      <c r="AR82" s="476">
        <f>+AR81</f>
        <v>904932.23727272719</v>
      </c>
      <c r="AS82" s="476">
        <f t="shared" si="17"/>
        <v>24206937.347045455</v>
      </c>
      <c r="AT82" s="493">
        <f>+AQ$29*AS82+AR82</f>
        <v>3787192.610563851</v>
      </c>
      <c r="AU82" s="575"/>
      <c r="AV82" s="575"/>
      <c r="AW82" s="575"/>
      <c r="AX82" s="558"/>
      <c r="AY82" s="575"/>
      <c r="AZ82" s="575"/>
      <c r="BA82" s="575"/>
      <c r="BB82" s="558"/>
      <c r="BC82" s="575"/>
      <c r="BD82" s="575"/>
      <c r="BE82" s="575"/>
      <c r="BF82" s="558"/>
      <c r="BG82" s="575"/>
      <c r="BH82" s="575"/>
      <c r="BI82" s="575"/>
      <c r="BJ82" s="558"/>
      <c r="BK82" s="575"/>
      <c r="BL82" s="575"/>
      <c r="BM82" s="575"/>
      <c r="BN82" s="558"/>
      <c r="BO82" s="575"/>
      <c r="BP82" s="575"/>
      <c r="BQ82" s="575"/>
      <c r="BR82" s="558"/>
      <c r="BS82" s="492">
        <f>+BS81</f>
        <v>232704.81818181835</v>
      </c>
      <c r="BT82" s="476">
        <f>+BT81</f>
        <v>8310.886363636364</v>
      </c>
      <c r="BU82" s="476">
        <f t="shared" si="18"/>
        <v>224393.931818182</v>
      </c>
      <c r="BV82" s="493">
        <f>+BS$29*BU82+BT82</f>
        <v>35028.91881913309</v>
      </c>
      <c r="BW82" s="492">
        <f>+BW81</f>
        <v>16439974.977272738</v>
      </c>
      <c r="BX82" s="476">
        <f>+BX81</f>
        <v>576841.22727272729</v>
      </c>
      <c r="BY82" s="476">
        <f t="shared" si="20"/>
        <v>15863133.750000011</v>
      </c>
      <c r="BZ82" s="493">
        <f>+BW$29*BY82+BX82</f>
        <v>2362225.3470976744</v>
      </c>
      <c r="CA82" s="492">
        <f>+CA81</f>
        <v>1555902.8800000013</v>
      </c>
      <c r="CB82" s="476">
        <f>+CB81</f>
        <v>54433.919999999998</v>
      </c>
      <c r="CC82" s="476">
        <f t="shared" si="21"/>
        <v>1501468.9600000014</v>
      </c>
      <c r="CD82" s="493">
        <f>+CA$29*CC82+CB82</f>
        <v>233210.12878226634</v>
      </c>
      <c r="CE82" s="492">
        <f>+CE81</f>
        <v>133482.07181818192</v>
      </c>
      <c r="CF82" s="476">
        <f>+CF81</f>
        <v>4725.0290909090909</v>
      </c>
      <c r="CG82" s="476">
        <f t="shared" si="22"/>
        <v>128757.04272727284</v>
      </c>
      <c r="CH82" s="493">
        <f>+CE$29*CG82+CF82</f>
        <v>20055.812854030039</v>
      </c>
      <c r="CI82" s="492">
        <f>+CI81</f>
        <v>360579.54545454518</v>
      </c>
      <c r="CJ82" s="476">
        <f>+CJ81</f>
        <v>12362.727272727272</v>
      </c>
      <c r="CK82" s="476">
        <f t="shared" si="23"/>
        <v>348216.81818181789</v>
      </c>
      <c r="CL82" s="493">
        <f>+CI$29*CK82+CJ82</f>
        <v>51554.275880693094</v>
      </c>
      <c r="CM82" s="492">
        <f>+CM81</f>
        <v>16324593.14914773</v>
      </c>
      <c r="CN82" s="476">
        <f>+CN81</f>
        <v>483691.64886363636</v>
      </c>
      <c r="CO82" s="476">
        <f t="shared" si="33"/>
        <v>15840901.500284094</v>
      </c>
      <c r="CP82" s="493">
        <f>+CM$29*CO82+CN82</f>
        <v>2266573.5452177147</v>
      </c>
      <c r="CQ82" s="492">
        <f>+CQ81</f>
        <v>68098588.795738593</v>
      </c>
      <c r="CR82" s="476">
        <f>+CR81</f>
        <v>2017735.9643181816</v>
      </c>
      <c r="CS82" s="476">
        <f t="shared" si="38"/>
        <v>66080852.831420414</v>
      </c>
      <c r="CT82" s="493">
        <f>+CQ$29*CS82+CR82</f>
        <v>9455087.6962675713</v>
      </c>
      <c r="CU82" s="492">
        <f>+CU81</f>
        <v>22990642.665000014</v>
      </c>
      <c r="CV82" s="476">
        <f>+CV81</f>
        <v>676195.37250000006</v>
      </c>
      <c r="CW82" s="476">
        <f t="shared" si="39"/>
        <v>22314447.292500015</v>
      </c>
      <c r="CX82" s="493">
        <f>+CU$29*CW82+CV82</f>
        <v>3187670.1205900665</v>
      </c>
      <c r="CY82" s="492">
        <f>+CY81</f>
        <v>25313.473295454587</v>
      </c>
      <c r="CZ82" s="476">
        <f>+CZ81</f>
        <v>733.72386363636497</v>
      </c>
      <c r="DA82" s="476">
        <f t="shared" si="40"/>
        <v>24579.749431818222</v>
      </c>
      <c r="DB82" s="493">
        <f>+CY$29*DA82+CZ82</f>
        <v>3500.1567133149151</v>
      </c>
      <c r="DC82" s="492">
        <f>+DC81</f>
        <v>1525175.5409090917</v>
      </c>
      <c r="DD82" s="476">
        <f>+DD81</f>
        <v>44530.672727272722</v>
      </c>
      <c r="DE82" s="476">
        <f t="shared" si="41"/>
        <v>1480644.8681818191</v>
      </c>
      <c r="DF82" s="493">
        <f>+DC$29*DE82+DD82</f>
        <v>211176.17142970409</v>
      </c>
      <c r="DG82" s="492">
        <f>+DG81</f>
        <v>850061.8639772723</v>
      </c>
      <c r="DH82" s="476">
        <f>+DH81</f>
        <v>24639.474318181816</v>
      </c>
      <c r="DI82" s="476">
        <f t="shared" si="42"/>
        <v>825422.38965909043</v>
      </c>
      <c r="DJ82" s="493">
        <f>+DG$29*DI82+DH82</f>
        <v>117540.16152604821</v>
      </c>
      <c r="DK82" s="492">
        <f>+DK81</f>
        <v>18780009.302840911</v>
      </c>
      <c r="DL82" s="476">
        <f>+DL81</f>
        <v>549658.80886363634</v>
      </c>
      <c r="DM82" s="476">
        <f t="shared" si="43"/>
        <v>18230350.493977275</v>
      </c>
      <c r="DN82" s="493">
        <f>+DK$29*DM82+DL82</f>
        <v>2601471.4446103331</v>
      </c>
      <c r="DO82" s="492">
        <f>+DO81</f>
        <v>689010.08587121172</v>
      </c>
      <c r="DP82" s="476">
        <f t="shared" si="128"/>
        <v>19592.703863636354</v>
      </c>
      <c r="DQ82" s="476">
        <f t="shared" si="57"/>
        <v>669417.38200757536</v>
      </c>
      <c r="DR82" s="493">
        <f t="shared" si="62"/>
        <v>94935.141379875189</v>
      </c>
      <c r="DS82" s="492">
        <f>+DS81</f>
        <v>294499.22181818081</v>
      </c>
      <c r="DT82" s="476">
        <f t="shared" si="129"/>
        <v>8295.7527272726966</v>
      </c>
      <c r="DU82" s="476">
        <f t="shared" si="58"/>
        <v>286203.46909090813</v>
      </c>
      <c r="DV82" s="493">
        <f t="shared" si="63"/>
        <v>40507.744179069989</v>
      </c>
      <c r="DW82" s="492">
        <f>+DW81</f>
        <v>43067.160170454517</v>
      </c>
      <c r="DX82" s="476">
        <f t="shared" si="130"/>
        <v>1221.7634090909089</v>
      </c>
      <c r="DY82" s="476">
        <f t="shared" si="59"/>
        <v>41845.396761363605</v>
      </c>
      <c r="DZ82" s="493">
        <f t="shared" si="64"/>
        <v>5931.432257814623</v>
      </c>
      <c r="EA82" s="492">
        <f>+EA81</f>
        <v>-255737.49880681984</v>
      </c>
      <c r="EB82" s="476">
        <f t="shared" si="131"/>
        <v>-7120.3015909091364</v>
      </c>
      <c r="EC82" s="476">
        <f t="shared" si="60"/>
        <v>-248617.19721591071</v>
      </c>
      <c r="ED82" s="493">
        <f t="shared" si="65"/>
        <v>-35101.985589802083</v>
      </c>
      <c r="EE82" s="576">
        <f>+EE81</f>
        <v>7202537.78136364</v>
      </c>
      <c r="EF82" s="580">
        <f t="shared" si="132"/>
        <v>192495.44181818186</v>
      </c>
      <c r="EG82" s="580">
        <f t="shared" si="69"/>
        <v>7010042.3395454586</v>
      </c>
      <c r="EH82" s="493">
        <f t="shared" si="91"/>
        <v>981470.58819018875</v>
      </c>
      <c r="EI82" s="576">
        <f>+EI81</f>
        <v>291172.9601893939</v>
      </c>
      <c r="EJ82" s="580">
        <f t="shared" si="133"/>
        <v>7696.2015909090906</v>
      </c>
      <c r="EK82" s="580">
        <f t="shared" si="70"/>
        <v>283476.7585984848</v>
      </c>
      <c r="EL82" s="493">
        <f t="shared" si="92"/>
        <v>39601.303767910176</v>
      </c>
      <c r="EM82" s="576">
        <f>+EM81</f>
        <v>9928505.4368181806</v>
      </c>
      <c r="EN82" s="580">
        <f t="shared" si="134"/>
        <v>261276.45886363636</v>
      </c>
      <c r="EO82" s="580">
        <f t="shared" si="71"/>
        <v>9667228.9779545441</v>
      </c>
      <c r="EP82" s="493">
        <f t="shared" si="93"/>
        <v>1349316.0210309532</v>
      </c>
      <c r="EQ82" s="576">
        <f>+EQ81</f>
        <v>19272330.227499992</v>
      </c>
      <c r="ER82" s="580">
        <f t="shared" si="135"/>
        <v>500580.00590909086</v>
      </c>
      <c r="ES82" s="580">
        <f t="shared" si="94"/>
        <v>18771750.221590899</v>
      </c>
      <c r="ET82" s="493">
        <f t="shared" si="106"/>
        <v>2613326.7856523301</v>
      </c>
      <c r="EU82" s="576">
        <f>+EU81</f>
        <v>24902403.505000003</v>
      </c>
      <c r="EV82" s="580">
        <f t="shared" si="136"/>
        <v>646815.67545454553</v>
      </c>
      <c r="EW82" s="580">
        <f t="shared" si="95"/>
        <v>24255587.829545457</v>
      </c>
      <c r="EX82" s="493">
        <f t="shared" si="107"/>
        <v>3376764.3735098513</v>
      </c>
      <c r="EY82" s="582">
        <f t="shared" si="103"/>
        <v>43280742.615372546</v>
      </c>
      <c r="EZ82" s="579">
        <f>+EY82</f>
        <v>43280742.615372546</v>
      </c>
      <c r="FA82" s="553"/>
      <c r="FD82" s="492"/>
      <c r="FE82" s="476"/>
      <c r="FF82" s="476"/>
      <c r="FG82" s="493"/>
      <c r="FH82" s="492"/>
      <c r="FI82" s="476"/>
      <c r="FJ82" s="476"/>
      <c r="FK82" s="493"/>
      <c r="FL82" s="492"/>
      <c r="FM82" s="476"/>
      <c r="FN82" s="476"/>
      <c r="FO82" s="493"/>
      <c r="FP82" s="492"/>
      <c r="FQ82" s="476"/>
      <c r="FR82" s="476"/>
      <c r="FS82" s="493"/>
      <c r="FT82" s="492"/>
      <c r="FU82" s="476"/>
      <c r="FV82" s="476"/>
      <c r="FW82" s="493"/>
      <c r="FX82" s="492"/>
      <c r="FY82" s="476"/>
      <c r="FZ82" s="476"/>
      <c r="GA82" s="493"/>
      <c r="GB82" s="492"/>
      <c r="GC82" s="476"/>
      <c r="GD82" s="476"/>
      <c r="GE82" s="493"/>
      <c r="GF82" s="492"/>
      <c r="GG82" s="476"/>
      <c r="GH82" s="476"/>
      <c r="GI82" s="493"/>
      <c r="GJ82" s="492"/>
      <c r="GK82" s="476"/>
      <c r="GL82" s="476"/>
      <c r="GM82" s="493"/>
      <c r="GN82" s="492"/>
      <c r="GO82" s="476"/>
      <c r="GP82" s="476"/>
      <c r="GQ82" s="493"/>
      <c r="GR82" s="492"/>
      <c r="GS82" s="476"/>
      <c r="GT82" s="476"/>
      <c r="GU82" s="493"/>
      <c r="GV82" s="492">
        <f>+GV81</f>
        <v>1536170.4454166722</v>
      </c>
      <c r="GW82" s="476">
        <f>+GW81</f>
        <v>1536170.3454166662</v>
      </c>
      <c r="GX82" s="476">
        <f t="shared" si="126"/>
        <v>0.10000000591389835</v>
      </c>
      <c r="GY82" s="493">
        <f t="shared" si="127"/>
        <v>1536170.3586300777</v>
      </c>
      <c r="GZ82" s="492">
        <f>+GZ81</f>
        <v>13380079.418333329</v>
      </c>
      <c r="HA82" s="476">
        <f>+HA80</f>
        <v>8028047.6510000005</v>
      </c>
      <c r="HB82" s="476">
        <f t="shared" si="61"/>
        <v>5352031.7673333287</v>
      </c>
      <c r="HC82" s="493">
        <f t="shared" si="66"/>
        <v>8735233.5899353791</v>
      </c>
      <c r="HD82" s="576">
        <f>+HD81</f>
        <v>-110798.12500000009</v>
      </c>
      <c r="HE82" s="580">
        <f>+HE80</f>
        <v>-53183.1</v>
      </c>
      <c r="HF82" s="580">
        <f t="shared" si="67"/>
        <v>-57615.025000000089</v>
      </c>
      <c r="HG82" s="918">
        <f t="shared" si="84"/>
        <v>-60796.009885942527</v>
      </c>
      <c r="HH82" s="576">
        <f>+HH81</f>
        <v>302764.93333333335</v>
      </c>
      <c r="HI82" s="575">
        <f>+HI80</f>
        <v>129756.4</v>
      </c>
      <c r="HJ82" s="575">
        <f t="shared" si="68"/>
        <v>173008.53333333335</v>
      </c>
      <c r="HK82" s="918">
        <f t="shared" si="85"/>
        <v>152616.72807875634</v>
      </c>
      <c r="HL82" s="576">
        <f>+HL81</f>
        <v>1356963.5916666673</v>
      </c>
      <c r="HM82" s="580">
        <f>+HM80</f>
        <v>440096.3</v>
      </c>
      <c r="HN82" s="580">
        <f t="shared" si="86"/>
        <v>916867.29166666721</v>
      </c>
      <c r="HO82" s="918">
        <f t="shared" si="99"/>
        <v>561245.74094576912</v>
      </c>
      <c r="HP82" s="576">
        <f>+HP81</f>
        <v>433849.13916666684</v>
      </c>
      <c r="HQ82" s="580">
        <f>+HQ80</f>
        <v>94657.993999999992</v>
      </c>
      <c r="HR82" s="580">
        <f t="shared" si="105"/>
        <v>339191.14516666683</v>
      </c>
      <c r="HS82" s="918">
        <f t="shared" si="108"/>
        <v>139476.71311473579</v>
      </c>
      <c r="HT82" s="576">
        <f>+HT81</f>
        <v>221110.5</v>
      </c>
      <c r="HU82" s="580">
        <f>+HU80</f>
        <v>39019.5</v>
      </c>
      <c r="HV82" s="580">
        <f t="shared" si="122"/>
        <v>182091</v>
      </c>
      <c r="HW82" s="918">
        <f t="shared" si="123"/>
        <v>63079.931702340822</v>
      </c>
      <c r="HY82" s="492"/>
      <c r="HZ82" s="476"/>
      <c r="IA82" s="476"/>
      <c r="IB82" s="493"/>
      <c r="IC82" s="492"/>
      <c r="ID82" s="476"/>
      <c r="IE82" s="476"/>
      <c r="IF82" s="493"/>
      <c r="IG82" s="492"/>
      <c r="IH82" s="476"/>
      <c r="II82" s="476"/>
      <c r="IJ82" s="493"/>
    </row>
    <row r="83" spans="1:244">
      <c r="A83" s="554" t="s">
        <v>24</v>
      </c>
      <c r="B83" s="574">
        <v>2028</v>
      </c>
      <c r="C83" s="575">
        <f>+E82</f>
        <v>11033351.606249996</v>
      </c>
      <c r="D83" s="575">
        <f>+C$31</f>
        <v>445791.98409090913</v>
      </c>
      <c r="E83" s="575">
        <f t="shared" si="6"/>
        <v>10587559.622159086</v>
      </c>
      <c r="F83" s="558">
        <f>+C$28*E83+D83</f>
        <v>1637414.0882103196</v>
      </c>
      <c r="G83" s="575">
        <f>+I82</f>
        <v>2838098.3638636339</v>
      </c>
      <c r="H83" s="575">
        <f>+G$31</f>
        <v>115840.74954545456</v>
      </c>
      <c r="I83" s="575">
        <f t="shared" si="7"/>
        <v>2722257.6143181794</v>
      </c>
      <c r="J83" s="558">
        <f>+G$28*I83+H83</f>
        <v>422228.85616254841</v>
      </c>
      <c r="K83" s="576">
        <f>+M82</f>
        <v>7253719.32698863</v>
      </c>
      <c r="L83" s="575">
        <f>+K$31</f>
        <v>305419.76113636367</v>
      </c>
      <c r="M83" s="575">
        <f t="shared" si="8"/>
        <v>6948299.5658522667</v>
      </c>
      <c r="N83" s="558">
        <f>+K$28*M83+L83</f>
        <v>1087445.8034156328</v>
      </c>
      <c r="O83" s="576">
        <f>+Q82</f>
        <v>3082338.2196969669</v>
      </c>
      <c r="P83" s="575">
        <f>+O$31</f>
        <v>119316.31818181818</v>
      </c>
      <c r="Q83" s="575">
        <f t="shared" si="11"/>
        <v>2963021.9015151486</v>
      </c>
      <c r="R83" s="558">
        <f>+O$28*Q83+P83</f>
        <v>452802.26950960426</v>
      </c>
      <c r="S83" s="492">
        <f>+U82</f>
        <v>1409296.2151515125</v>
      </c>
      <c r="T83" s="476">
        <f>+S$31</f>
        <v>58315.705454545445</v>
      </c>
      <c r="U83" s="476">
        <f t="shared" si="12"/>
        <v>1350980.509696967</v>
      </c>
      <c r="V83" s="493">
        <f>+S$28*U83+T83</f>
        <v>210367.5752943226</v>
      </c>
      <c r="W83" s="492">
        <f>+Y82</f>
        <v>17910085.018939398</v>
      </c>
      <c r="X83" s="476">
        <f>+W$31</f>
        <v>693293.61363636365</v>
      </c>
      <c r="Y83" s="476">
        <f t="shared" si="13"/>
        <v>17216791.405303035</v>
      </c>
      <c r="Z83" s="493">
        <f>+W$28*Y83+X83</f>
        <v>2631030.9140841174</v>
      </c>
      <c r="AA83" s="492">
        <f>+AC82</f>
        <v>11684096.240530301</v>
      </c>
      <c r="AB83" s="476">
        <f>+AA$31</f>
        <v>450833.29545454547</v>
      </c>
      <c r="AC83" s="476">
        <f t="shared" si="14"/>
        <v>11233262.945075756</v>
      </c>
      <c r="AD83" s="493">
        <f>+AA$28*AC83+AB83</f>
        <v>1715128.8370562328</v>
      </c>
      <c r="AE83" s="492">
        <f>+AG82</f>
        <v>117246.10227272741</v>
      </c>
      <c r="AF83" s="476">
        <f>+AE$31</f>
        <v>4597.886363636364</v>
      </c>
      <c r="AG83" s="476">
        <f t="shared" si="15"/>
        <v>112648.21590909104</v>
      </c>
      <c r="AH83" s="493">
        <f>+AE$28*AG83+AF83</f>
        <v>17276.360805087945</v>
      </c>
      <c r="AI83" s="492">
        <f>+AK82</f>
        <v>7930522.7537878808</v>
      </c>
      <c r="AJ83" s="476">
        <f>+AI$31</f>
        <v>295547.43181818182</v>
      </c>
      <c r="AK83" s="476">
        <f t="shared" si="19"/>
        <v>7634975.3219696991</v>
      </c>
      <c r="AL83" s="493">
        <f>+AI$28*AK83+AJ83</f>
        <v>1154858.3290171702</v>
      </c>
      <c r="AM83" s="492">
        <f>+AO82</f>
        <v>2937973.2655681819</v>
      </c>
      <c r="AN83" s="476">
        <f>+AM$31</f>
        <v>110866.91568181818</v>
      </c>
      <c r="AO83" s="476">
        <f t="shared" si="16"/>
        <v>2827106.3498863638</v>
      </c>
      <c r="AP83" s="493">
        <f>+AM$28*AO83+AN83</f>
        <v>429055.67092340975</v>
      </c>
      <c r="AQ83" s="492">
        <f>+AS82</f>
        <v>24206937.347045455</v>
      </c>
      <c r="AR83" s="476">
        <f>+AQ$31</f>
        <v>904932.23727272719</v>
      </c>
      <c r="AS83" s="476">
        <f t="shared" si="17"/>
        <v>23302005.109772727</v>
      </c>
      <c r="AT83" s="493">
        <f>+AQ$28*AS83+AR83</f>
        <v>3527555.8965524058</v>
      </c>
      <c r="AU83" s="575"/>
      <c r="AV83" s="575"/>
      <c r="AW83" s="575"/>
      <c r="AX83" s="558"/>
      <c r="AY83" s="575"/>
      <c r="AZ83" s="575"/>
      <c r="BA83" s="575"/>
      <c r="BB83" s="558"/>
      <c r="BC83" s="575"/>
      <c r="BD83" s="575"/>
      <c r="BE83" s="575"/>
      <c r="BF83" s="558"/>
      <c r="BG83" s="575"/>
      <c r="BH83" s="575"/>
      <c r="BI83" s="575"/>
      <c r="BJ83" s="558"/>
      <c r="BK83" s="575"/>
      <c r="BL83" s="575"/>
      <c r="BM83" s="575"/>
      <c r="BN83" s="558"/>
      <c r="BO83" s="575"/>
      <c r="BP83" s="575"/>
      <c r="BQ83" s="575"/>
      <c r="BR83" s="558"/>
      <c r="BS83" s="492">
        <f>+BU82</f>
        <v>224393.931818182</v>
      </c>
      <c r="BT83" s="476">
        <f>+BS$31</f>
        <v>8310.886363636364</v>
      </c>
      <c r="BU83" s="476">
        <f t="shared" si="18"/>
        <v>216083.04545454565</v>
      </c>
      <c r="BV83" s="493">
        <f>+BS$28*BU83+BT83</f>
        <v>32630.87533920418</v>
      </c>
      <c r="BW83" s="492">
        <f>+BY82</f>
        <v>15863133.750000011</v>
      </c>
      <c r="BX83" s="476">
        <f>+BW$31</f>
        <v>576841.22727272729</v>
      </c>
      <c r="BY83" s="476">
        <f t="shared" si="20"/>
        <v>15286292.522727285</v>
      </c>
      <c r="BZ83" s="493">
        <f>+BW$28*BY83+BX83</f>
        <v>2297302.2881949488</v>
      </c>
      <c r="CA83" s="492">
        <f>+CC82</f>
        <v>1501468.9600000014</v>
      </c>
      <c r="CB83" s="476">
        <f>+CA$31</f>
        <v>54433.919999999998</v>
      </c>
      <c r="CC83" s="476">
        <f t="shared" si="21"/>
        <v>1447035.0400000014</v>
      </c>
      <c r="CD83" s="493">
        <f>+CA$28*CC83+CB83</f>
        <v>217296.65708347555</v>
      </c>
      <c r="CE83" s="492">
        <f>+CG82</f>
        <v>128757.04272727284</v>
      </c>
      <c r="CF83" s="476">
        <f>+CE$31</f>
        <v>4725.0290909090909</v>
      </c>
      <c r="CG83" s="476">
        <f t="shared" si="22"/>
        <v>124032.01363636376</v>
      </c>
      <c r="CH83" s="493">
        <f>+CE$28*CG83+CF83</f>
        <v>18684.741653773599</v>
      </c>
      <c r="CI83" s="492">
        <f>+CK82</f>
        <v>348216.81818181789</v>
      </c>
      <c r="CJ83" s="476">
        <f>+CI$31</f>
        <v>12362.727272727272</v>
      </c>
      <c r="CK83" s="476">
        <f t="shared" si="23"/>
        <v>335854.09090909059</v>
      </c>
      <c r="CL83" s="493">
        <f>+CI$28*CK83+CJ83</f>
        <v>50162.85995378306</v>
      </c>
      <c r="CM83" s="492">
        <f>+CO82</f>
        <v>15840901.500284094</v>
      </c>
      <c r="CN83" s="476">
        <f>+CM$31</f>
        <v>483691.64886363636</v>
      </c>
      <c r="CO83" s="476">
        <f t="shared" si="33"/>
        <v>15357209.851420458</v>
      </c>
      <c r="CP83" s="493">
        <f>+CM$28*CO83+CN83</f>
        <v>2212134.4033443076</v>
      </c>
      <c r="CQ83" s="492">
        <f>+CS82</f>
        <v>66080852.831420414</v>
      </c>
      <c r="CR83" s="476">
        <f>+CQ$31</f>
        <v>2017735.9643181816</v>
      </c>
      <c r="CS83" s="476">
        <f t="shared" si="38"/>
        <v>64063116.867102236</v>
      </c>
      <c r="CT83" s="493">
        <f>+CQ$28*CS83+CR83</f>
        <v>9227992.9868950713</v>
      </c>
      <c r="CU83" s="492">
        <f>+CW82</f>
        <v>22314447.292500015</v>
      </c>
      <c r="CV83" s="476">
        <f>+CU$31</f>
        <v>676195.37250000006</v>
      </c>
      <c r="CW83" s="476">
        <f t="shared" si="39"/>
        <v>21638251.920000017</v>
      </c>
      <c r="CX83" s="493">
        <f>+CU$28*CW83+CV83</f>
        <v>3111564.8251933982</v>
      </c>
      <c r="CY83" s="492">
        <f>+DA82</f>
        <v>24579.749431818222</v>
      </c>
      <c r="CZ83" s="476">
        <f>+CY$31</f>
        <v>733.72386363636497</v>
      </c>
      <c r="DA83" s="476">
        <f t="shared" si="40"/>
        <v>23846.025568181856</v>
      </c>
      <c r="DB83" s="493">
        <f>+CY$28*DA83+CZ83</f>
        <v>3417.5766282498839</v>
      </c>
      <c r="DC83" s="492">
        <f>+DE82</f>
        <v>1480644.8681818191</v>
      </c>
      <c r="DD83" s="476">
        <f>+DC$31</f>
        <v>44530.672727272722</v>
      </c>
      <c r="DE83" s="476">
        <f t="shared" si="41"/>
        <v>1436114.1954545465</v>
      </c>
      <c r="DF83" s="493">
        <f>+DC$28*DE83+DD83</f>
        <v>206164.27673188661</v>
      </c>
      <c r="DG83" s="492">
        <f>+DI82</f>
        <v>825422.38965909043</v>
      </c>
      <c r="DH83" s="476">
        <f>+DG$31</f>
        <v>24639.474318181816</v>
      </c>
      <c r="DI83" s="476">
        <f t="shared" si="42"/>
        <v>800782.91534090857</v>
      </c>
      <c r="DJ83" s="493">
        <f>+DG$28*DI83+DH83</f>
        <v>114767.00668402234</v>
      </c>
      <c r="DK83" s="492">
        <f>+DM82</f>
        <v>18230350.493977275</v>
      </c>
      <c r="DL83" s="476">
        <f>+DK$31</f>
        <v>549658.80886363634</v>
      </c>
      <c r="DM83" s="476">
        <f t="shared" si="43"/>
        <v>17680691.685113639</v>
      </c>
      <c r="DN83" s="493">
        <f>+DK$28*DM83+DL83</f>
        <v>2539607.7470501312</v>
      </c>
      <c r="DO83" s="492">
        <f>+DQ82</f>
        <v>669417.38200757536</v>
      </c>
      <c r="DP83" s="476">
        <f t="shared" si="128"/>
        <v>19592.703863636354</v>
      </c>
      <c r="DQ83" s="476">
        <f t="shared" ref="DQ83:DQ84" si="137">+DO83-DP83</f>
        <v>649824.678143939</v>
      </c>
      <c r="DR83" s="493">
        <f t="shared" ref="DR83:DR84" si="138">+DO$29*DQ83+DP83</f>
        <v>92729.996867204783</v>
      </c>
      <c r="DS83" s="492">
        <f>+DU82</f>
        <v>286203.46909090813</v>
      </c>
      <c r="DT83" s="476">
        <f t="shared" si="129"/>
        <v>8295.7527272726966</v>
      </c>
      <c r="DU83" s="476">
        <f t="shared" si="58"/>
        <v>277907.71636363544</v>
      </c>
      <c r="DV83" s="493">
        <f t="shared" si="63"/>
        <v>39574.063267423691</v>
      </c>
      <c r="DW83" s="492">
        <f>+DY82</f>
        <v>41845.396761363605</v>
      </c>
      <c r="DX83" s="476">
        <f t="shared" si="130"/>
        <v>1221.7634090909089</v>
      </c>
      <c r="DY83" s="476">
        <f t="shared" si="59"/>
        <v>40623.633352272693</v>
      </c>
      <c r="DZ83" s="493">
        <f t="shared" si="64"/>
        <v>5793.9236782898424</v>
      </c>
      <c r="EA83" s="492">
        <f>+EC82</f>
        <v>-248617.19721591071</v>
      </c>
      <c r="EB83" s="476">
        <f t="shared" si="131"/>
        <v>-7120.3015909091364</v>
      </c>
      <c r="EC83" s="476">
        <f t="shared" si="60"/>
        <v>-241496.89562500158</v>
      </c>
      <c r="ED83" s="493">
        <f t="shared" si="65"/>
        <v>-34300.60084520372</v>
      </c>
      <c r="EE83" s="576">
        <f>+EG82</f>
        <v>7010042.3395454586</v>
      </c>
      <c r="EF83" s="580">
        <f t="shared" si="132"/>
        <v>192495.44181818186</v>
      </c>
      <c r="EG83" s="580">
        <f t="shared" si="69"/>
        <v>6817546.8977272771</v>
      </c>
      <c r="EH83" s="493">
        <f t="shared" si="91"/>
        <v>959805.36677951587</v>
      </c>
      <c r="EI83" s="576">
        <f>+EK82</f>
        <v>283476.7585984848</v>
      </c>
      <c r="EJ83" s="580">
        <f t="shared" si="133"/>
        <v>7696.2015909090906</v>
      </c>
      <c r="EK83" s="580">
        <f t="shared" si="70"/>
        <v>275780.5570075757</v>
      </c>
      <c r="EL83" s="493">
        <f t="shared" si="92"/>
        <v>38735.101898851324</v>
      </c>
      <c r="EM83" s="576">
        <f>+EO82</f>
        <v>9667228.9779545441</v>
      </c>
      <c r="EN83" s="580">
        <f t="shared" si="134"/>
        <v>261276.45886363636</v>
      </c>
      <c r="EO83" s="580">
        <f t="shared" si="71"/>
        <v>9405952.5190909076</v>
      </c>
      <c r="EP83" s="493">
        <f t="shared" si="93"/>
        <v>1319909.5463777822</v>
      </c>
      <c r="EQ83" s="576">
        <f>+ES82</f>
        <v>18771750.221590899</v>
      </c>
      <c r="ER83" s="580">
        <f t="shared" si="135"/>
        <v>500580.00590909086</v>
      </c>
      <c r="ES83" s="580">
        <f t="shared" si="94"/>
        <v>18271170.215681806</v>
      </c>
      <c r="ET83" s="493">
        <f t="shared" si="106"/>
        <v>2556986.8715258436</v>
      </c>
      <c r="EU83" s="576">
        <f>+EW82</f>
        <v>24255587.829545457</v>
      </c>
      <c r="EV83" s="580">
        <f t="shared" si="136"/>
        <v>646815.67545454553</v>
      </c>
      <c r="EW83" s="580">
        <f t="shared" si="95"/>
        <v>23608772.154090911</v>
      </c>
      <c r="EX83" s="493">
        <f t="shared" si="107"/>
        <v>3303965.7415617099</v>
      </c>
      <c r="EY83" s="582">
        <f t="shared" si="103"/>
        <v>41600090.856894538</v>
      </c>
      <c r="EZ83" s="557"/>
      <c r="FA83" s="578">
        <f>+EY83</f>
        <v>41600090.856894538</v>
      </c>
      <c r="FD83" s="492"/>
      <c r="FE83" s="476"/>
      <c r="FF83" s="476"/>
      <c r="FG83" s="493"/>
      <c r="FH83" s="492"/>
      <c r="FI83" s="476"/>
      <c r="FJ83" s="476"/>
      <c r="FK83" s="493"/>
      <c r="FL83" s="492"/>
      <c r="FM83" s="476"/>
      <c r="FN83" s="476"/>
      <c r="FO83" s="493"/>
      <c r="FP83" s="492"/>
      <c r="FQ83" s="476"/>
      <c r="FR83" s="476"/>
      <c r="FS83" s="493"/>
      <c r="FT83" s="492"/>
      <c r="FU83" s="476"/>
      <c r="FV83" s="476"/>
      <c r="FW83" s="493"/>
      <c r="FX83" s="492"/>
      <c r="FY83" s="476"/>
      <c r="FZ83" s="476"/>
      <c r="GA83" s="493"/>
      <c r="GB83" s="492"/>
      <c r="GC83" s="476"/>
      <c r="GD83" s="476"/>
      <c r="GE83" s="493"/>
      <c r="GF83" s="492"/>
      <c r="GG83" s="476"/>
      <c r="GH83" s="476"/>
      <c r="GI83" s="493"/>
      <c r="GJ83" s="492"/>
      <c r="GK83" s="476"/>
      <c r="GL83" s="476"/>
      <c r="GM83" s="493"/>
      <c r="GN83" s="492"/>
      <c r="GO83" s="476"/>
      <c r="GP83" s="476"/>
      <c r="GQ83" s="493"/>
      <c r="GR83" s="492"/>
      <c r="GS83" s="476"/>
      <c r="GT83" s="476"/>
      <c r="GU83" s="493"/>
      <c r="GV83" s="492"/>
      <c r="GW83" s="476"/>
      <c r="GX83" s="476"/>
      <c r="GY83" s="493"/>
      <c r="GZ83" s="492">
        <f>+HB82</f>
        <v>5352031.7673333287</v>
      </c>
      <c r="HA83" s="476">
        <f>+GZ$31/12*(12-4)</f>
        <v>5352031.7673333334</v>
      </c>
      <c r="HB83" s="476">
        <f t="shared" si="61"/>
        <v>0</v>
      </c>
      <c r="HC83" s="493">
        <f t="shared" si="66"/>
        <v>5352031.7673333334</v>
      </c>
      <c r="HD83" s="576">
        <f>+HF82</f>
        <v>-57615.025000000089</v>
      </c>
      <c r="HE83" s="580">
        <f t="shared" ref="HE83:HE84" si="139">+HE81</f>
        <v>-53183.1</v>
      </c>
      <c r="HF83" s="580">
        <f t="shared" si="67"/>
        <v>-4431.9250000000902</v>
      </c>
      <c r="HG83" s="918">
        <f t="shared" si="84"/>
        <v>-53768.708452764819</v>
      </c>
      <c r="HH83" s="576">
        <f>+HJ82</f>
        <v>173008.53333333335</v>
      </c>
      <c r="HI83" s="575">
        <f t="shared" ref="HI83:HI84" si="140">+HI81</f>
        <v>129756.4</v>
      </c>
      <c r="HJ83" s="575">
        <f t="shared" si="68"/>
        <v>43252.13333333336</v>
      </c>
      <c r="HK83" s="918">
        <f t="shared" si="85"/>
        <v>135471.48201968908</v>
      </c>
      <c r="HL83" s="576">
        <f>+HN82</f>
        <v>916867.29166666721</v>
      </c>
      <c r="HM83" s="580">
        <f t="shared" ref="HM83:HM84" si="141">+HM81</f>
        <v>440096.3</v>
      </c>
      <c r="HN83" s="580">
        <f t="shared" si="86"/>
        <v>476770.99166666722</v>
      </c>
      <c r="HO83" s="918">
        <f t="shared" si="99"/>
        <v>503094.00929179997</v>
      </c>
      <c r="HP83" s="576">
        <f>+HR82</f>
        <v>339191.14516666683</v>
      </c>
      <c r="HQ83" s="580">
        <f t="shared" ref="HQ83:HQ88" si="142">+HQ81</f>
        <v>94657.993999999992</v>
      </c>
      <c r="HR83" s="580">
        <f t="shared" si="105"/>
        <v>244533.15116666682</v>
      </c>
      <c r="HS83" s="918">
        <f t="shared" si="108"/>
        <v>126969.16359434443</v>
      </c>
      <c r="HT83" s="576">
        <f>+HV82</f>
        <v>182091</v>
      </c>
      <c r="HU83" s="580">
        <f t="shared" ref="HU83:HU90" si="143">+HU81</f>
        <v>39019.5</v>
      </c>
      <c r="HV83" s="580">
        <f t="shared" si="122"/>
        <v>143071.5</v>
      </c>
      <c r="HW83" s="918">
        <f t="shared" si="123"/>
        <v>57924.124908982078</v>
      </c>
      <c r="HY83" s="492"/>
      <c r="HZ83" s="476"/>
      <c r="IA83" s="476"/>
      <c r="IB83" s="493"/>
      <c r="IC83" s="492"/>
      <c r="ID83" s="476"/>
      <c r="IE83" s="476"/>
      <c r="IF83" s="493"/>
      <c r="IG83" s="492"/>
      <c r="IH83" s="476"/>
      <c r="II83" s="476"/>
      <c r="IJ83" s="493"/>
    </row>
    <row r="84" spans="1:244">
      <c r="A84" s="554" t="s">
        <v>23</v>
      </c>
      <c r="B84" s="574">
        <v>2028</v>
      </c>
      <c r="C84" s="575">
        <f>+C83</f>
        <v>11033351.606249996</v>
      </c>
      <c r="D84" s="575">
        <f>+D83</f>
        <v>445791.98409090913</v>
      </c>
      <c r="E84" s="575">
        <f t="shared" si="6"/>
        <v>10587559.622159086</v>
      </c>
      <c r="F84" s="558">
        <f>+C$29*E84+D84</f>
        <v>1706426.6158623206</v>
      </c>
      <c r="G84" s="575">
        <f>+G83</f>
        <v>2838098.3638636339</v>
      </c>
      <c r="H84" s="575">
        <f>+H83</f>
        <v>115840.74954545456</v>
      </c>
      <c r="I84" s="575">
        <f t="shared" si="7"/>
        <v>2722257.6143181794</v>
      </c>
      <c r="J84" s="558">
        <f>+G$29*I84+H84</f>
        <v>439973.25483311678</v>
      </c>
      <c r="K84" s="576">
        <f>+K83</f>
        <v>7253719.32698863</v>
      </c>
      <c r="L84" s="575">
        <f>+L83</f>
        <v>305419.76113636367</v>
      </c>
      <c r="M84" s="575">
        <f t="shared" si="8"/>
        <v>6948299.5658522667</v>
      </c>
      <c r="N84" s="558">
        <f>+K$29*M84+L84</f>
        <v>1132736.6667529368</v>
      </c>
      <c r="O84" s="576">
        <f>+O83</f>
        <v>3082338.2196969669</v>
      </c>
      <c r="P84" s="575">
        <f>+P83</f>
        <v>119316.31818181818</v>
      </c>
      <c r="Q84" s="575">
        <f t="shared" si="11"/>
        <v>2963021.9015151486</v>
      </c>
      <c r="R84" s="558">
        <f>+O$29*Q84+P84</f>
        <v>472116.03379611869</v>
      </c>
      <c r="S84" s="492">
        <f>+S83</f>
        <v>1409296.2151515125</v>
      </c>
      <c r="T84" s="476">
        <f>+T83</f>
        <v>58315.705454545445</v>
      </c>
      <c r="U84" s="476">
        <f t="shared" si="12"/>
        <v>1350980.509696967</v>
      </c>
      <c r="V84" s="493">
        <f>+S$29*U84+T84</f>
        <v>219173.62532946403</v>
      </c>
      <c r="W84" s="492">
        <f>+W83</f>
        <v>17910085.018939398</v>
      </c>
      <c r="X84" s="476">
        <f>+X83</f>
        <v>693293.61363636365</v>
      </c>
      <c r="Y84" s="476">
        <f t="shared" si="13"/>
        <v>17216791.405303035</v>
      </c>
      <c r="Z84" s="493">
        <f>+W$29*Y84+X84</f>
        <v>2743254.536461689</v>
      </c>
      <c r="AA84" s="492">
        <f>+AA83</f>
        <v>11684096.240530301</v>
      </c>
      <c r="AB84" s="476">
        <f>+AB83</f>
        <v>450833.29545454547</v>
      </c>
      <c r="AC84" s="476">
        <f t="shared" si="14"/>
        <v>11233262.945075756</v>
      </c>
      <c r="AD84" s="493">
        <f>+AA$29*AC84+AB84</f>
        <v>1788350.2305864962</v>
      </c>
      <c r="AE84" s="492">
        <f>+AE83</f>
        <v>117246.10227272741</v>
      </c>
      <c r="AF84" s="476">
        <f>+AF83</f>
        <v>4597.886363636364</v>
      </c>
      <c r="AG84" s="476">
        <f t="shared" si="15"/>
        <v>112648.21590909104</v>
      </c>
      <c r="AH84" s="493">
        <f>+AE$29*AG84+AF84</f>
        <v>18010.631816804744</v>
      </c>
      <c r="AI84" s="492">
        <f>+AI83</f>
        <v>7930522.7537878808</v>
      </c>
      <c r="AJ84" s="476">
        <f>+AJ83</f>
        <v>295547.43181818182</v>
      </c>
      <c r="AK84" s="476">
        <f t="shared" si="19"/>
        <v>7634975.3219696991</v>
      </c>
      <c r="AL84" s="493">
        <f>+AI$29*AK84+AJ84</f>
        <v>1204625.1274422759</v>
      </c>
      <c r="AM84" s="492">
        <f>+AM83</f>
        <v>2937973.2655681819</v>
      </c>
      <c r="AN84" s="476">
        <f>+AN83</f>
        <v>110866.91568181818</v>
      </c>
      <c r="AO84" s="476">
        <f t="shared" si="16"/>
        <v>2827106.3498863638</v>
      </c>
      <c r="AP84" s="493">
        <f>+AM$29*AO84+AN84</f>
        <v>447483.50151983311</v>
      </c>
      <c r="AQ84" s="492">
        <f>+AQ83</f>
        <v>24206937.347045455</v>
      </c>
      <c r="AR84" s="476">
        <f>+AR83</f>
        <v>904932.23727272719</v>
      </c>
      <c r="AS84" s="476">
        <f t="shared" si="17"/>
        <v>23302005.109772727</v>
      </c>
      <c r="AT84" s="493">
        <f>+AQ$29*AS84+AR84</f>
        <v>3679444.5592258647</v>
      </c>
      <c r="AU84" s="575"/>
      <c r="AV84" s="575"/>
      <c r="AW84" s="575"/>
      <c r="AX84" s="558"/>
      <c r="AY84" s="575"/>
      <c r="AZ84" s="575"/>
      <c r="BA84" s="575"/>
      <c r="BB84" s="558"/>
      <c r="BC84" s="575"/>
      <c r="BD84" s="575"/>
      <c r="BE84" s="575"/>
      <c r="BF84" s="558"/>
      <c r="BG84" s="575"/>
      <c r="BH84" s="575"/>
      <c r="BI84" s="575"/>
      <c r="BJ84" s="558"/>
      <c r="BK84" s="575"/>
      <c r="BL84" s="575"/>
      <c r="BM84" s="575"/>
      <c r="BN84" s="558"/>
      <c r="BO84" s="575"/>
      <c r="BP84" s="575"/>
      <c r="BQ84" s="575"/>
      <c r="BR84" s="558"/>
      <c r="BS84" s="492">
        <f>+BS83</f>
        <v>224393.931818182</v>
      </c>
      <c r="BT84" s="476">
        <f>+BT83</f>
        <v>8310.886363636364</v>
      </c>
      <c r="BU84" s="476">
        <f t="shared" si="18"/>
        <v>216083.04545454565</v>
      </c>
      <c r="BV84" s="493">
        <f>+BS$29*BU84+BT84</f>
        <v>34039.362061522101</v>
      </c>
      <c r="BW84" s="492">
        <f>+BW83</f>
        <v>15863133.750000011</v>
      </c>
      <c r="BX84" s="476">
        <f>+BX83</f>
        <v>576841.22727272729</v>
      </c>
      <c r="BY84" s="476">
        <f t="shared" si="20"/>
        <v>15286292.522727285</v>
      </c>
      <c r="BZ84" s="493">
        <f>+BW$29*BY84+BX84</f>
        <v>2297302.2881949488</v>
      </c>
      <c r="CA84" s="492">
        <f>+CA83</f>
        <v>1501468.9600000014</v>
      </c>
      <c r="CB84" s="476">
        <f>+CB83</f>
        <v>54433.919999999998</v>
      </c>
      <c r="CC84" s="476">
        <f t="shared" si="21"/>
        <v>1447035.0400000014</v>
      </c>
      <c r="CD84" s="493">
        <f>+CA$29*CC84+CB84</f>
        <v>226728.81607716909</v>
      </c>
      <c r="CE84" s="492">
        <f>+CE83</f>
        <v>128757.04272727284</v>
      </c>
      <c r="CF84" s="476">
        <f>+CF83</f>
        <v>4725.0290909090909</v>
      </c>
      <c r="CG84" s="476">
        <f t="shared" si="22"/>
        <v>124032.01363636376</v>
      </c>
      <c r="CH84" s="493">
        <f>+CE$29*CG84+CF84</f>
        <v>19493.2152847412</v>
      </c>
      <c r="CI84" s="492">
        <f>+CI83</f>
        <v>348216.81818181789</v>
      </c>
      <c r="CJ84" s="476">
        <f>+CJ83</f>
        <v>12362.727272727272</v>
      </c>
      <c r="CK84" s="476">
        <f t="shared" si="23"/>
        <v>335854.09090909059</v>
      </c>
      <c r="CL84" s="493">
        <f>+CI$29*CK84+CJ84</f>
        <v>50162.85995378306</v>
      </c>
      <c r="CM84" s="492">
        <f>+CM83</f>
        <v>15840901.500284094</v>
      </c>
      <c r="CN84" s="476">
        <f>+CN83</f>
        <v>483691.64886363636</v>
      </c>
      <c r="CO84" s="476">
        <f t="shared" si="33"/>
        <v>15357209.851420458</v>
      </c>
      <c r="CP84" s="493">
        <f>+CM$29*CO84+CN84</f>
        <v>2212134.4033443076</v>
      </c>
      <c r="CQ84" s="492">
        <f>+CQ83</f>
        <v>66080852.831420414</v>
      </c>
      <c r="CR84" s="476">
        <f>+CR83</f>
        <v>2017735.9643181816</v>
      </c>
      <c r="CS84" s="476">
        <f t="shared" si="38"/>
        <v>64063116.867102236</v>
      </c>
      <c r="CT84" s="493">
        <f>+CQ$29*CS84+CR84</f>
        <v>9227992.9868950713</v>
      </c>
      <c r="CU84" s="492">
        <f>+CU83</f>
        <v>22314447.292500015</v>
      </c>
      <c r="CV84" s="476">
        <f>+CV83</f>
        <v>676195.37250000006</v>
      </c>
      <c r="CW84" s="476">
        <f t="shared" si="39"/>
        <v>21638251.920000017</v>
      </c>
      <c r="CX84" s="493">
        <f>+CU$29*CW84+CV84</f>
        <v>3111564.8251933982</v>
      </c>
      <c r="CY84" s="492">
        <f>+CY83</f>
        <v>24579.749431818222</v>
      </c>
      <c r="CZ84" s="476">
        <f>+CZ83</f>
        <v>733.72386363636497</v>
      </c>
      <c r="DA84" s="476">
        <f t="shared" si="40"/>
        <v>23846.025568181856</v>
      </c>
      <c r="DB84" s="493">
        <f>+CY$29*DA84+CZ84</f>
        <v>3417.5766282498839</v>
      </c>
      <c r="DC84" s="492">
        <f>+DC83</f>
        <v>1480644.8681818191</v>
      </c>
      <c r="DD84" s="476">
        <f>+DD83</f>
        <v>44530.672727272722</v>
      </c>
      <c r="DE84" s="476">
        <f t="shared" si="41"/>
        <v>1436114.1954545465</v>
      </c>
      <c r="DF84" s="493">
        <f>+DC$29*DE84+DD84</f>
        <v>206164.27673188661</v>
      </c>
      <c r="DG84" s="492">
        <f>+DG83</f>
        <v>825422.38965909043</v>
      </c>
      <c r="DH84" s="476">
        <f>+DH83</f>
        <v>24639.474318181816</v>
      </c>
      <c r="DI84" s="476">
        <f t="shared" si="42"/>
        <v>800782.91534090857</v>
      </c>
      <c r="DJ84" s="493">
        <f>+DG$29*DI84+DH84</f>
        <v>114767.00668402234</v>
      </c>
      <c r="DK84" s="492">
        <f>+DK83</f>
        <v>18230350.493977275</v>
      </c>
      <c r="DL84" s="476">
        <f>+DL83</f>
        <v>549658.80886363634</v>
      </c>
      <c r="DM84" s="476">
        <f t="shared" si="43"/>
        <v>17680691.685113639</v>
      </c>
      <c r="DN84" s="493">
        <f>+DK$29*DM84+DL84</f>
        <v>2539607.7470501312</v>
      </c>
      <c r="DO84" s="492">
        <f>+DO83</f>
        <v>669417.38200757536</v>
      </c>
      <c r="DP84" s="476">
        <f t="shared" si="128"/>
        <v>19592.703863636354</v>
      </c>
      <c r="DQ84" s="476">
        <f t="shared" si="137"/>
        <v>649824.678143939</v>
      </c>
      <c r="DR84" s="493">
        <f t="shared" si="138"/>
        <v>92729.996867204783</v>
      </c>
      <c r="DS84" s="492">
        <f>+DS83</f>
        <v>286203.46909090813</v>
      </c>
      <c r="DT84" s="476">
        <f t="shared" si="129"/>
        <v>8295.7527272726966</v>
      </c>
      <c r="DU84" s="476">
        <f t="shared" si="58"/>
        <v>277907.71636363544</v>
      </c>
      <c r="DV84" s="493">
        <f t="shared" si="63"/>
        <v>39574.063267423691</v>
      </c>
      <c r="DW84" s="492">
        <f>+DW83</f>
        <v>41845.396761363605</v>
      </c>
      <c r="DX84" s="476">
        <f t="shared" si="130"/>
        <v>1221.7634090909089</v>
      </c>
      <c r="DY84" s="476">
        <f t="shared" si="59"/>
        <v>40623.633352272693</v>
      </c>
      <c r="DZ84" s="493">
        <f t="shared" si="64"/>
        <v>5793.9236782898424</v>
      </c>
      <c r="EA84" s="492">
        <f>+EA83</f>
        <v>-248617.19721591071</v>
      </c>
      <c r="EB84" s="476">
        <f t="shared" si="131"/>
        <v>-7120.3015909091364</v>
      </c>
      <c r="EC84" s="476">
        <f t="shared" si="60"/>
        <v>-241496.89562500158</v>
      </c>
      <c r="ED84" s="493">
        <f t="shared" si="65"/>
        <v>-34300.60084520372</v>
      </c>
      <c r="EE84" s="576">
        <f>+EE83</f>
        <v>7010042.3395454586</v>
      </c>
      <c r="EF84" s="580">
        <f t="shared" si="132"/>
        <v>192495.44181818186</v>
      </c>
      <c r="EG84" s="580">
        <f t="shared" si="69"/>
        <v>6817546.8977272771</v>
      </c>
      <c r="EH84" s="493">
        <f t="shared" si="91"/>
        <v>959805.36677951587</v>
      </c>
      <c r="EI84" s="576">
        <f>+EI83</f>
        <v>283476.7585984848</v>
      </c>
      <c r="EJ84" s="580">
        <f t="shared" si="133"/>
        <v>7696.2015909090906</v>
      </c>
      <c r="EK84" s="580">
        <f t="shared" si="70"/>
        <v>275780.5570075757</v>
      </c>
      <c r="EL84" s="493">
        <f t="shared" si="92"/>
        <v>38735.101898851324</v>
      </c>
      <c r="EM84" s="576">
        <f>+EM83</f>
        <v>9667228.9779545441</v>
      </c>
      <c r="EN84" s="580">
        <f t="shared" si="134"/>
        <v>261276.45886363636</v>
      </c>
      <c r="EO84" s="580">
        <f t="shared" si="71"/>
        <v>9405952.5190909076</v>
      </c>
      <c r="EP84" s="493">
        <f t="shared" si="93"/>
        <v>1319909.5463777822</v>
      </c>
      <c r="EQ84" s="576">
        <f>+EQ83</f>
        <v>18771750.221590899</v>
      </c>
      <c r="ER84" s="580">
        <f t="shared" si="135"/>
        <v>500580.00590909086</v>
      </c>
      <c r="ES84" s="580">
        <f t="shared" si="94"/>
        <v>18271170.215681806</v>
      </c>
      <c r="ET84" s="493">
        <f t="shared" si="106"/>
        <v>2556986.8715258436</v>
      </c>
      <c r="EU84" s="576">
        <f>+EU83</f>
        <v>24255587.829545457</v>
      </c>
      <c r="EV84" s="580">
        <f t="shared" si="136"/>
        <v>646815.67545454553</v>
      </c>
      <c r="EW84" s="580">
        <f t="shared" si="95"/>
        <v>23608772.154090911</v>
      </c>
      <c r="EX84" s="493">
        <f t="shared" si="107"/>
        <v>3303965.7415617099</v>
      </c>
      <c r="EY84" s="582">
        <f t="shared" si="103"/>
        <v>42178170.158837564</v>
      </c>
      <c r="EZ84" s="579">
        <f>+EY84</f>
        <v>42178170.158837564</v>
      </c>
      <c r="FA84" s="553"/>
      <c r="FD84" s="492"/>
      <c r="FE84" s="476"/>
      <c r="FF84" s="476"/>
      <c r="FG84" s="493"/>
      <c r="FH84" s="492"/>
      <c r="FI84" s="476"/>
      <c r="FJ84" s="476"/>
      <c r="FK84" s="493"/>
      <c r="FL84" s="492"/>
      <c r="FM84" s="476"/>
      <c r="FN84" s="476"/>
      <c r="FO84" s="493"/>
      <c r="FP84" s="492"/>
      <c r="FQ84" s="476"/>
      <c r="FR84" s="476"/>
      <c r="FS84" s="493"/>
      <c r="FT84" s="492"/>
      <c r="FU84" s="476"/>
      <c r="FV84" s="476"/>
      <c r="FW84" s="493"/>
      <c r="FX84" s="492"/>
      <c r="FY84" s="476"/>
      <c r="FZ84" s="476"/>
      <c r="GA84" s="493"/>
      <c r="GB84" s="492"/>
      <c r="GC84" s="476"/>
      <c r="GD84" s="476"/>
      <c r="GE84" s="493"/>
      <c r="GF84" s="492"/>
      <c r="GG84" s="476"/>
      <c r="GH84" s="476"/>
      <c r="GI84" s="493"/>
      <c r="GJ84" s="492"/>
      <c r="GK84" s="476"/>
      <c r="GL84" s="476"/>
      <c r="GM84" s="493"/>
      <c r="GN84" s="492"/>
      <c r="GO84" s="476"/>
      <c r="GP84" s="476"/>
      <c r="GQ84" s="493"/>
      <c r="GR84" s="492"/>
      <c r="GS84" s="476"/>
      <c r="GT84" s="476"/>
      <c r="GU84" s="493"/>
      <c r="GV84" s="492"/>
      <c r="GW84" s="476"/>
      <c r="GX84" s="476"/>
      <c r="GY84" s="493"/>
      <c r="GZ84" s="492">
        <f>+GZ83</f>
        <v>5352031.7673333287</v>
      </c>
      <c r="HA84" s="476">
        <f>+HA83</f>
        <v>5352031.7673333334</v>
      </c>
      <c r="HB84" s="476">
        <f t="shared" si="61"/>
        <v>0</v>
      </c>
      <c r="HC84" s="493">
        <f t="shared" si="66"/>
        <v>5352031.7673333334</v>
      </c>
      <c r="HD84" s="576">
        <f>+HD83</f>
        <v>-57615.025000000089</v>
      </c>
      <c r="HE84" s="580">
        <f t="shared" si="139"/>
        <v>-53183.1</v>
      </c>
      <c r="HF84" s="580">
        <f t="shared" si="67"/>
        <v>-4431.9250000000902</v>
      </c>
      <c r="HG84" s="918">
        <f t="shared" si="84"/>
        <v>-53768.708452764819</v>
      </c>
      <c r="HH84" s="576">
        <f>+HH83</f>
        <v>173008.53333333335</v>
      </c>
      <c r="HI84" s="575">
        <f t="shared" si="140"/>
        <v>129756.4</v>
      </c>
      <c r="HJ84" s="575">
        <f t="shared" si="68"/>
        <v>43252.13333333336</v>
      </c>
      <c r="HK84" s="918">
        <f t="shared" si="85"/>
        <v>135471.48201968908</v>
      </c>
      <c r="HL84" s="576">
        <f>+HL83</f>
        <v>916867.29166666721</v>
      </c>
      <c r="HM84" s="580">
        <f t="shared" si="141"/>
        <v>440096.3</v>
      </c>
      <c r="HN84" s="580">
        <f t="shared" si="86"/>
        <v>476770.99166666722</v>
      </c>
      <c r="HO84" s="918">
        <f t="shared" si="99"/>
        <v>503094.00929179997</v>
      </c>
      <c r="HP84" s="576">
        <f>+HP83</f>
        <v>339191.14516666683</v>
      </c>
      <c r="HQ84" s="580">
        <f t="shared" si="142"/>
        <v>94657.993999999992</v>
      </c>
      <c r="HR84" s="580">
        <f t="shared" si="105"/>
        <v>244533.15116666682</v>
      </c>
      <c r="HS84" s="918">
        <f t="shared" si="108"/>
        <v>126969.16359434443</v>
      </c>
      <c r="HT84" s="576">
        <f>+HT83</f>
        <v>182091</v>
      </c>
      <c r="HU84" s="580">
        <f t="shared" si="143"/>
        <v>39019.5</v>
      </c>
      <c r="HV84" s="580">
        <f t="shared" si="122"/>
        <v>143071.5</v>
      </c>
      <c r="HW84" s="918">
        <f t="shared" si="123"/>
        <v>57924.124908982078</v>
      </c>
      <c r="HY84" s="492"/>
      <c r="HZ84" s="476"/>
      <c r="IA84" s="476"/>
      <c r="IB84" s="493"/>
      <c r="IC84" s="492"/>
      <c r="ID84" s="476"/>
      <c r="IE84" s="476"/>
      <c r="IF84" s="493"/>
      <c r="IG84" s="492"/>
      <c r="IH84" s="476"/>
      <c r="II84" s="476"/>
      <c r="IJ84" s="493"/>
    </row>
    <row r="85" spans="1:244">
      <c r="A85" s="554" t="s">
        <v>24</v>
      </c>
      <c r="B85" s="574">
        <v>2029</v>
      </c>
      <c r="C85" s="575">
        <f>+E84</f>
        <v>10587559.622159086</v>
      </c>
      <c r="D85" s="575">
        <f>+C$31</f>
        <v>445791.98409090913</v>
      </c>
      <c r="E85" s="575">
        <f t="shared" si="6"/>
        <v>10141767.638068177</v>
      </c>
      <c r="F85" s="558">
        <f>+C$28*E85+D85</f>
        <v>1587240.5259316077</v>
      </c>
      <c r="G85" s="575">
        <f>+I84</f>
        <v>2722257.6143181794</v>
      </c>
      <c r="H85" s="575">
        <f>+G$31</f>
        <v>115840.74954545456</v>
      </c>
      <c r="I85" s="575">
        <f t="shared" si="7"/>
        <v>2606416.8647727249</v>
      </c>
      <c r="J85" s="558">
        <f>+G$28*I85+H85</f>
        <v>409191.06439160823</v>
      </c>
      <c r="K85" s="576">
        <f>+M84</f>
        <v>6948299.5658522667</v>
      </c>
      <c r="L85" s="575">
        <f>+K$31</f>
        <v>305419.76113636367</v>
      </c>
      <c r="M85" s="575">
        <f t="shared" si="8"/>
        <v>6642879.8047159035</v>
      </c>
      <c r="N85" s="558">
        <f>+K$28*M85+L85</f>
        <v>1053071.0323264343</v>
      </c>
      <c r="O85" s="576">
        <f>+Q84</f>
        <v>2963021.9015151486</v>
      </c>
      <c r="P85" s="575">
        <f>+O$31</f>
        <v>119316.31818181818</v>
      </c>
      <c r="Q85" s="575">
        <f t="shared" si="11"/>
        <v>2843705.5833333302</v>
      </c>
      <c r="R85" s="558">
        <f>+O$28*Q85+P85</f>
        <v>439373.30502660613</v>
      </c>
      <c r="S85" s="492">
        <f>+U84</f>
        <v>1350980.509696967</v>
      </c>
      <c r="T85" s="476">
        <f>+S$31</f>
        <v>58315.705454545445</v>
      </c>
      <c r="U85" s="476">
        <f t="shared" si="12"/>
        <v>1292664.8042424214</v>
      </c>
      <c r="V85" s="493">
        <f>+S$28*U85+T85</f>
        <v>203804.18522929621</v>
      </c>
      <c r="W85" s="492">
        <f>+Y84</f>
        <v>17216791.405303035</v>
      </c>
      <c r="X85" s="476">
        <f>+W$31</f>
        <v>693293.61363636365</v>
      </c>
      <c r="Y85" s="476">
        <f t="shared" si="13"/>
        <v>16523497.791666672</v>
      </c>
      <c r="Z85" s="493">
        <f>+W$28*Y85+X85</f>
        <v>2553001.2241332009</v>
      </c>
      <c r="AA85" s="492">
        <f>+AC84</f>
        <v>11233262.945075756</v>
      </c>
      <c r="AB85" s="476">
        <f>+AA$31</f>
        <v>450833.29545454547</v>
      </c>
      <c r="AC85" s="476">
        <f t="shared" si="14"/>
        <v>10782429.649621211</v>
      </c>
      <c r="AD85" s="493">
        <f>+AA$28*AC85+AB85</f>
        <v>1664387.8788648609</v>
      </c>
      <c r="AE85" s="492">
        <f>+AG84</f>
        <v>112648.21590909104</v>
      </c>
      <c r="AF85" s="476">
        <f>+AE$31</f>
        <v>4597.886363636364</v>
      </c>
      <c r="AG85" s="476">
        <f t="shared" si="15"/>
        <v>108050.32954545468</v>
      </c>
      <c r="AH85" s="493">
        <f>+AE$28*AG85+AF85</f>
        <v>16758.872052375635</v>
      </c>
      <c r="AI85" s="492">
        <f>+AK84</f>
        <v>7634975.3219696991</v>
      </c>
      <c r="AJ85" s="476">
        <f>+AI$31</f>
        <v>295547.43181818182</v>
      </c>
      <c r="AK85" s="476">
        <f t="shared" si="19"/>
        <v>7339427.8901515175</v>
      </c>
      <c r="AL85" s="493">
        <f>+AI$28*AK85+AJ85</f>
        <v>1121594.681383661</v>
      </c>
      <c r="AM85" s="492">
        <f>+AO84</f>
        <v>2827106.3498863638</v>
      </c>
      <c r="AN85" s="476">
        <f>+AM$31</f>
        <v>110866.91568181818</v>
      </c>
      <c r="AO85" s="476">
        <f t="shared" si="16"/>
        <v>2716239.4342045458</v>
      </c>
      <c r="AP85" s="493">
        <f>+AM$28*AO85+AN85</f>
        <v>416577.68052177876</v>
      </c>
      <c r="AQ85" s="492">
        <f>+AS84</f>
        <v>23302005.109772727</v>
      </c>
      <c r="AR85" s="476">
        <f>+AQ$31</f>
        <v>904932.23727272719</v>
      </c>
      <c r="AS85" s="476">
        <f t="shared" si="17"/>
        <v>22397072.872499999</v>
      </c>
      <c r="AT85" s="493">
        <f>+AQ$28*AS85+AR85</f>
        <v>3425706.4340561074</v>
      </c>
      <c r="AU85" s="575"/>
      <c r="AV85" s="575"/>
      <c r="AW85" s="575"/>
      <c r="AX85" s="558"/>
      <c r="AY85" s="575"/>
      <c r="AZ85" s="575"/>
      <c r="BA85" s="575"/>
      <c r="BB85" s="558"/>
      <c r="BC85" s="575"/>
      <c r="BD85" s="575"/>
      <c r="BE85" s="575"/>
      <c r="BF85" s="558"/>
      <c r="BG85" s="575"/>
      <c r="BH85" s="575"/>
      <c r="BI85" s="575"/>
      <c r="BJ85" s="558"/>
      <c r="BK85" s="575"/>
      <c r="BL85" s="575"/>
      <c r="BM85" s="575"/>
      <c r="BN85" s="558"/>
      <c r="BO85" s="575"/>
      <c r="BP85" s="575"/>
      <c r="BQ85" s="575"/>
      <c r="BR85" s="558"/>
      <c r="BS85" s="492">
        <f>+BU84</f>
        <v>216083.04545454565</v>
      </c>
      <c r="BT85" s="476">
        <f>+BS$31</f>
        <v>8310.886363636364</v>
      </c>
      <c r="BU85" s="476">
        <f t="shared" si="18"/>
        <v>207772.15909090929</v>
      </c>
      <c r="BV85" s="493">
        <f>+BS$28*BU85+BT85</f>
        <v>31695.49114783619</v>
      </c>
      <c r="BW85" s="492">
        <f>+BY84</f>
        <v>15286292.522727285</v>
      </c>
      <c r="BX85" s="476">
        <f>+BW$31</f>
        <v>576841.22727272729</v>
      </c>
      <c r="BY85" s="476">
        <f t="shared" si="20"/>
        <v>14709451.295454558</v>
      </c>
      <c r="BZ85" s="493">
        <f>+BW$28*BY85+BX85</f>
        <v>2232379.2292922242</v>
      </c>
      <c r="CA85" s="492">
        <f>+CC84</f>
        <v>1447035.0400000014</v>
      </c>
      <c r="CB85" s="476">
        <f>+CA$31</f>
        <v>54433.919999999998</v>
      </c>
      <c r="CC85" s="476">
        <f t="shared" si="21"/>
        <v>1392601.1200000015</v>
      </c>
      <c r="CD85" s="493">
        <f>+CA$28*CC85+CB85</f>
        <v>211170.15913676174</v>
      </c>
      <c r="CE85" s="492">
        <f>+CG84</f>
        <v>124032.01363636376</v>
      </c>
      <c r="CF85" s="476">
        <f>+CE$31</f>
        <v>4725.0290909090909</v>
      </c>
      <c r="CG85" s="476">
        <f t="shared" si="22"/>
        <v>119306.98454545467</v>
      </c>
      <c r="CH85" s="493">
        <f>+CE$28*CG85+CF85</f>
        <v>18152.943079950193</v>
      </c>
      <c r="CI85" s="492">
        <f>+CK84</f>
        <v>335854.09090909059</v>
      </c>
      <c r="CJ85" s="476">
        <f>+CI$31</f>
        <v>12362.727272727272</v>
      </c>
      <c r="CK85" s="476">
        <f t="shared" si="23"/>
        <v>323491.3636363633</v>
      </c>
      <c r="CL85" s="493">
        <f>+CI$28*CK85+CJ85</f>
        <v>48771.444026873025</v>
      </c>
      <c r="CM85" s="492">
        <f>+CO84</f>
        <v>15357209.851420458</v>
      </c>
      <c r="CN85" s="476">
        <f>+CM$31</f>
        <v>483691.64886363636</v>
      </c>
      <c r="CO85" s="476">
        <f t="shared" si="33"/>
        <v>14873518.202556822</v>
      </c>
      <c r="CP85" s="493">
        <f>+CM$28*CO85+CN85</f>
        <v>2157695.2614709008</v>
      </c>
      <c r="CQ85" s="492">
        <f>+CS84</f>
        <v>64063116.867102236</v>
      </c>
      <c r="CR85" s="476">
        <f>+CQ$31</f>
        <v>2017735.9643181816</v>
      </c>
      <c r="CS85" s="476">
        <f t="shared" si="38"/>
        <v>62045380.902784057</v>
      </c>
      <c r="CT85" s="493">
        <f>+CQ$28*CS85+CR85</f>
        <v>9000898.2775225714</v>
      </c>
      <c r="CU85" s="492">
        <f>+CW84</f>
        <v>21638251.920000017</v>
      </c>
      <c r="CV85" s="476">
        <f>+CU$31</f>
        <v>676195.37250000006</v>
      </c>
      <c r="CW85" s="476">
        <f t="shared" si="39"/>
        <v>20962056.547500018</v>
      </c>
      <c r="CX85" s="493">
        <f>+CU$28*CW85+CV85</f>
        <v>3035459.5297967298</v>
      </c>
      <c r="CY85" s="492">
        <f>+DA84</f>
        <v>23846.025568181856</v>
      </c>
      <c r="CZ85" s="476">
        <f>+CY$31</f>
        <v>733.72386363636497</v>
      </c>
      <c r="DA85" s="476">
        <f t="shared" si="40"/>
        <v>23112.301704545491</v>
      </c>
      <c r="DB85" s="493">
        <f>+CY$28*DA85+CZ85</f>
        <v>3334.9965431848523</v>
      </c>
      <c r="DC85" s="492">
        <f>+DE84</f>
        <v>1436114.1954545465</v>
      </c>
      <c r="DD85" s="476">
        <f>+DC$31</f>
        <v>44530.672727272722</v>
      </c>
      <c r="DE85" s="476">
        <f t="shared" si="41"/>
        <v>1391583.5227272739</v>
      </c>
      <c r="DF85" s="493">
        <f>+DC$28*DE85+DD85</f>
        <v>201152.38203406916</v>
      </c>
      <c r="DG85" s="492">
        <f>+DI84</f>
        <v>800782.91534090857</v>
      </c>
      <c r="DH85" s="476">
        <f>+DG$31</f>
        <v>24639.474318181816</v>
      </c>
      <c r="DI85" s="476">
        <f t="shared" si="42"/>
        <v>776143.44102272671</v>
      </c>
      <c r="DJ85" s="493">
        <f>+DG$28*DI85+DH85</f>
        <v>111993.85184199647</v>
      </c>
      <c r="DK85" s="492">
        <f>+DM84</f>
        <v>17680691.685113639</v>
      </c>
      <c r="DL85" s="476">
        <f>+DK$31</f>
        <v>549658.80886363634</v>
      </c>
      <c r="DM85" s="476">
        <f t="shared" si="43"/>
        <v>17131032.876250003</v>
      </c>
      <c r="DN85" s="493">
        <f>+DK$28*DM85+DL85</f>
        <v>2477744.0494899293</v>
      </c>
      <c r="DO85" s="492">
        <f>+DQ84</f>
        <v>649824.678143939</v>
      </c>
      <c r="DP85" s="476">
        <f t="shared" si="128"/>
        <v>19592.703863636354</v>
      </c>
      <c r="DQ85" s="476">
        <f t="shared" ref="DQ85:DQ86" si="144">+DO85-DP85</f>
        <v>630231.97428030265</v>
      </c>
      <c r="DR85" s="493">
        <f t="shared" ref="DR85:DR86" si="145">+DO$29*DQ85+DP85</f>
        <v>90524.852354534378</v>
      </c>
      <c r="DS85" s="492">
        <f>+DU84</f>
        <v>277907.71636363544</v>
      </c>
      <c r="DT85" s="476">
        <f t="shared" si="129"/>
        <v>8295.7527272726966</v>
      </c>
      <c r="DU85" s="476">
        <f t="shared" si="58"/>
        <v>269611.96363636275</v>
      </c>
      <c r="DV85" s="493">
        <f t="shared" si="63"/>
        <v>38640.382355777394</v>
      </c>
      <c r="DW85" s="492">
        <f>+DY84</f>
        <v>40623.633352272693</v>
      </c>
      <c r="DX85" s="476">
        <f t="shared" si="130"/>
        <v>1221.7634090909089</v>
      </c>
      <c r="DY85" s="476">
        <f t="shared" si="59"/>
        <v>39401.86994318178</v>
      </c>
      <c r="DZ85" s="493">
        <f t="shared" si="64"/>
        <v>5656.4150987650619</v>
      </c>
      <c r="EA85" s="492">
        <f>+EC84</f>
        <v>-241496.89562500158</v>
      </c>
      <c r="EB85" s="476">
        <f t="shared" si="131"/>
        <v>-7120.3015909091364</v>
      </c>
      <c r="EC85" s="476">
        <f t="shared" si="60"/>
        <v>-234376.59403409244</v>
      </c>
      <c r="ED85" s="493">
        <f t="shared" si="65"/>
        <v>-33499.21610060535</v>
      </c>
      <c r="EE85" s="576">
        <f>+EG84</f>
        <v>6817546.8977272771</v>
      </c>
      <c r="EF85" s="580">
        <f t="shared" si="132"/>
        <v>192495.44181818186</v>
      </c>
      <c r="EG85" s="580">
        <f t="shared" si="69"/>
        <v>6625051.4559090957</v>
      </c>
      <c r="EH85" s="493">
        <f t="shared" si="91"/>
        <v>938140.14536884299</v>
      </c>
      <c r="EI85" s="576">
        <f>+EK84</f>
        <v>275780.5570075757</v>
      </c>
      <c r="EJ85" s="580">
        <f t="shared" si="133"/>
        <v>7696.2015909090906</v>
      </c>
      <c r="EK85" s="580">
        <f t="shared" si="70"/>
        <v>268084.3554166666</v>
      </c>
      <c r="EL85" s="493">
        <f t="shared" si="92"/>
        <v>37868.900029792472</v>
      </c>
      <c r="EM85" s="576">
        <f>+EO84</f>
        <v>9405952.5190909076</v>
      </c>
      <c r="EN85" s="580">
        <f t="shared" si="134"/>
        <v>261276.45886363636</v>
      </c>
      <c r="EO85" s="580">
        <f t="shared" si="71"/>
        <v>9144676.0602272712</v>
      </c>
      <c r="EP85" s="493">
        <f t="shared" si="93"/>
        <v>1290503.0717246116</v>
      </c>
      <c r="EQ85" s="576">
        <f>+ES84</f>
        <v>18271170.215681806</v>
      </c>
      <c r="ER85" s="580">
        <f t="shared" si="135"/>
        <v>500580.00590909086</v>
      </c>
      <c r="ES85" s="580">
        <f t="shared" si="94"/>
        <v>17770590.209772713</v>
      </c>
      <c r="ET85" s="493">
        <f t="shared" si="106"/>
        <v>2500646.9573993571</v>
      </c>
      <c r="EU85" s="576">
        <f>+EW84</f>
        <v>23608772.154090911</v>
      </c>
      <c r="EV85" s="580">
        <f t="shared" si="136"/>
        <v>646815.67545454553</v>
      </c>
      <c r="EW85" s="580">
        <f t="shared" si="95"/>
        <v>22961956.478636365</v>
      </c>
      <c r="EX85" s="493">
        <f t="shared" si="107"/>
        <v>3231167.1096135685</v>
      </c>
      <c r="EY85" s="582">
        <f t="shared" si="103"/>
        <v>40520803.117145211</v>
      </c>
      <c r="EZ85" s="557"/>
      <c r="FA85" s="578">
        <f>+EY85</f>
        <v>40520803.117145211</v>
      </c>
      <c r="FD85" s="492"/>
      <c r="FE85" s="476"/>
      <c r="FF85" s="476"/>
      <c r="FG85" s="493"/>
      <c r="FH85" s="492"/>
      <c r="FI85" s="476"/>
      <c r="FJ85" s="476"/>
      <c r="FK85" s="493"/>
      <c r="FL85" s="492"/>
      <c r="FM85" s="476"/>
      <c r="FN85" s="476"/>
      <c r="FO85" s="493"/>
      <c r="FP85" s="492"/>
      <c r="FQ85" s="476"/>
      <c r="FR85" s="476"/>
      <c r="FS85" s="493"/>
      <c r="FT85" s="492"/>
      <c r="FU85" s="476"/>
      <c r="FV85" s="476"/>
      <c r="FW85" s="493"/>
      <c r="FX85" s="492"/>
      <c r="FY85" s="476"/>
      <c r="FZ85" s="476"/>
      <c r="GA85" s="493"/>
      <c r="GB85" s="492"/>
      <c r="GC85" s="476"/>
      <c r="GD85" s="476"/>
      <c r="GE85" s="493"/>
      <c r="GF85" s="492"/>
      <c r="GG85" s="476"/>
      <c r="GH85" s="476"/>
      <c r="GI85" s="493"/>
      <c r="GJ85" s="492"/>
      <c r="GK85" s="476"/>
      <c r="GL85" s="476"/>
      <c r="GM85" s="493"/>
      <c r="GN85" s="492"/>
      <c r="GO85" s="476"/>
      <c r="GP85" s="476"/>
      <c r="GQ85" s="493"/>
      <c r="GR85" s="492"/>
      <c r="GS85" s="476"/>
      <c r="GT85" s="476"/>
      <c r="GU85" s="493"/>
      <c r="GV85" s="492"/>
      <c r="GW85" s="476"/>
      <c r="GX85" s="476"/>
      <c r="GY85" s="493"/>
      <c r="GZ85" s="492"/>
      <c r="HA85" s="476"/>
      <c r="HB85" s="476"/>
      <c r="HC85" s="493"/>
      <c r="HD85" s="576">
        <f>+HF84</f>
        <v>-4431.9250000000902</v>
      </c>
      <c r="HE85" s="580">
        <f>+HD$31/12*(12-11)</f>
        <v>-4431.9250000000002</v>
      </c>
      <c r="HF85" s="580">
        <f t="shared" si="67"/>
        <v>-9.0039975475519896E-11</v>
      </c>
      <c r="HG85" s="918">
        <f t="shared" si="84"/>
        <v>-4431.925000000012</v>
      </c>
      <c r="HH85" s="576">
        <f>+HJ84</f>
        <v>43252.13333333336</v>
      </c>
      <c r="HI85" s="575">
        <f>+HH$31/12*(12-8)</f>
        <v>43252.133333333331</v>
      </c>
      <c r="HJ85" s="575">
        <f t="shared" si="68"/>
        <v>0</v>
      </c>
      <c r="HK85" s="918">
        <f t="shared" si="85"/>
        <v>43252.133333333331</v>
      </c>
      <c r="HL85" s="576">
        <f>+HN84</f>
        <v>476770.99166666722</v>
      </c>
      <c r="HM85" s="580">
        <f>+HM84</f>
        <v>440096.3</v>
      </c>
      <c r="HN85" s="580">
        <f t="shared" si="86"/>
        <v>36674.691666667233</v>
      </c>
      <c r="HO85" s="918">
        <f t="shared" si="99"/>
        <v>444942.27763783082</v>
      </c>
      <c r="HP85" s="576">
        <f>+HR84</f>
        <v>244533.15116666682</v>
      </c>
      <c r="HQ85" s="580">
        <f t="shared" si="142"/>
        <v>94657.993999999992</v>
      </c>
      <c r="HR85" s="580">
        <f t="shared" si="105"/>
        <v>149875.15716666682</v>
      </c>
      <c r="HS85" s="918">
        <f t="shared" si="108"/>
        <v>114461.61407395304</v>
      </c>
      <c r="HT85" s="576">
        <f>+HV84</f>
        <v>143071.5</v>
      </c>
      <c r="HU85" s="580">
        <f t="shared" si="143"/>
        <v>39019.5</v>
      </c>
      <c r="HV85" s="580">
        <f t="shared" si="122"/>
        <v>104052</v>
      </c>
      <c r="HW85" s="918">
        <f t="shared" si="123"/>
        <v>52768.318115623326</v>
      </c>
      <c r="HY85" s="492"/>
      <c r="HZ85" s="476"/>
      <c r="IA85" s="476"/>
      <c r="IB85" s="493"/>
      <c r="IC85" s="492"/>
      <c r="ID85" s="476"/>
      <c r="IE85" s="476"/>
      <c r="IF85" s="493"/>
      <c r="IG85" s="492"/>
      <c r="IH85" s="476"/>
      <c r="II85" s="476"/>
      <c r="IJ85" s="493"/>
    </row>
    <row r="86" spans="1:244">
      <c r="A86" s="554" t="s">
        <v>23</v>
      </c>
      <c r="B86" s="574">
        <v>2029</v>
      </c>
      <c r="C86" s="575">
        <f>+C85</f>
        <v>10587559.622159086</v>
      </c>
      <c r="D86" s="575">
        <f>+D85</f>
        <v>445791.98409090913</v>
      </c>
      <c r="E86" s="575">
        <f t="shared" si="6"/>
        <v>10141767.638068177</v>
      </c>
      <c r="F86" s="558">
        <f>+C$29*E86+D86</f>
        <v>1653347.2629456294</v>
      </c>
      <c r="G86" s="575">
        <f>+G85</f>
        <v>2722257.6143181794</v>
      </c>
      <c r="H86" s="575">
        <f>+H85</f>
        <v>115840.74954545456</v>
      </c>
      <c r="I86" s="575">
        <f t="shared" si="7"/>
        <v>2606416.8647727249</v>
      </c>
      <c r="J86" s="558">
        <f>+G$29*I86+H86</f>
        <v>426180.38226768433</v>
      </c>
      <c r="K86" s="576">
        <f>+K85</f>
        <v>6948299.5658522667</v>
      </c>
      <c r="L86" s="575">
        <f>+L85</f>
        <v>305419.76113636367</v>
      </c>
      <c r="M86" s="575">
        <f t="shared" si="8"/>
        <v>6642879.8047159035</v>
      </c>
      <c r="N86" s="558">
        <f>+K$29*M86+L86</f>
        <v>1096371.0884840766</v>
      </c>
      <c r="O86" s="576">
        <f>+O85</f>
        <v>2963021.9015151486</v>
      </c>
      <c r="P86" s="575">
        <f>+P85</f>
        <v>119316.31818181818</v>
      </c>
      <c r="Q86" s="575">
        <f t="shared" si="11"/>
        <v>2843705.5833333302</v>
      </c>
      <c r="R86" s="558">
        <f>+O$29*Q86+P86</f>
        <v>457909.33383849583</v>
      </c>
      <c r="S86" s="492">
        <f>+S85</f>
        <v>1350980.509696967</v>
      </c>
      <c r="T86" s="476">
        <f>+T85</f>
        <v>58315.705454545445</v>
      </c>
      <c r="U86" s="476">
        <f t="shared" si="12"/>
        <v>1292664.8042424214</v>
      </c>
      <c r="V86" s="493">
        <f>+S$29*U86+T86</f>
        <v>212230.11799673372</v>
      </c>
      <c r="W86" s="492">
        <f>+W85</f>
        <v>17216791.405303035</v>
      </c>
      <c r="X86" s="476">
        <f>+X85</f>
        <v>693293.61363636365</v>
      </c>
      <c r="Y86" s="476">
        <f t="shared" si="13"/>
        <v>16523497.791666672</v>
      </c>
      <c r="Z86" s="493">
        <f>+W$29*Y86+X86</f>
        <v>2660705.7744687228</v>
      </c>
      <c r="AA86" s="492">
        <f>+AA85</f>
        <v>11233262.945075756</v>
      </c>
      <c r="AB86" s="476">
        <f>+AB85</f>
        <v>450833.29545454547</v>
      </c>
      <c r="AC86" s="476">
        <f t="shared" si="14"/>
        <v>10782429.649621211</v>
      </c>
      <c r="AD86" s="493">
        <f>+AA$29*AC86+AB86</f>
        <v>1734670.6211497625</v>
      </c>
      <c r="AE86" s="492">
        <f>+AE85</f>
        <v>112648.21590909104</v>
      </c>
      <c r="AF86" s="476">
        <f>+AF85</f>
        <v>4597.886363636364</v>
      </c>
      <c r="AG86" s="476">
        <f t="shared" si="15"/>
        <v>108050.32954545468</v>
      </c>
      <c r="AH86" s="493">
        <f>+AE$29*AG86+AF86</f>
        <v>17463.172818716241</v>
      </c>
      <c r="AI86" s="492">
        <f>+AI85</f>
        <v>7634975.3219696991</v>
      </c>
      <c r="AJ86" s="476">
        <f>+AJ85</f>
        <v>295547.43181818182</v>
      </c>
      <c r="AK86" s="476">
        <f t="shared" si="19"/>
        <v>7339427.8901515175</v>
      </c>
      <c r="AL86" s="493">
        <f>+AI$29*AK86+AJ86</f>
        <v>1169435.0230955367</v>
      </c>
      <c r="AM86" s="492">
        <f>+AM85</f>
        <v>2827106.3498863638</v>
      </c>
      <c r="AN86" s="476">
        <f>+AN85</f>
        <v>110866.91568181818</v>
      </c>
      <c r="AO86" s="476">
        <f t="shared" si="16"/>
        <v>2716239.4342045458</v>
      </c>
      <c r="AP86" s="493">
        <f>+AM$29*AO86+AN86</f>
        <v>434282.85109481297</v>
      </c>
      <c r="AQ86" s="492">
        <f>+AQ85</f>
        <v>23302005.109772727</v>
      </c>
      <c r="AR86" s="476">
        <f>+AR85</f>
        <v>904932.23727272719</v>
      </c>
      <c r="AS86" s="476">
        <f t="shared" si="17"/>
        <v>22397072.872499999</v>
      </c>
      <c r="AT86" s="493">
        <f>+AQ$29*AS86+AR86</f>
        <v>3571696.5078878789</v>
      </c>
      <c r="AU86" s="575"/>
      <c r="AV86" s="575"/>
      <c r="AW86" s="575"/>
      <c r="AX86" s="558"/>
      <c r="AY86" s="575"/>
      <c r="AZ86" s="575"/>
      <c r="BA86" s="575"/>
      <c r="BB86" s="558"/>
      <c r="BC86" s="575"/>
      <c r="BD86" s="575"/>
      <c r="BE86" s="575"/>
      <c r="BF86" s="558"/>
      <c r="BG86" s="575"/>
      <c r="BH86" s="575"/>
      <c r="BI86" s="575"/>
      <c r="BJ86" s="558"/>
      <c r="BK86" s="575"/>
      <c r="BL86" s="575"/>
      <c r="BM86" s="575"/>
      <c r="BN86" s="558"/>
      <c r="BO86" s="575"/>
      <c r="BP86" s="575"/>
      <c r="BQ86" s="575"/>
      <c r="BR86" s="558"/>
      <c r="BS86" s="492">
        <f>+BS85</f>
        <v>216083.04545454565</v>
      </c>
      <c r="BT86" s="476">
        <f>+BT85</f>
        <v>8310.886363636364</v>
      </c>
      <c r="BU86" s="476">
        <f t="shared" si="18"/>
        <v>207772.15909090929</v>
      </c>
      <c r="BV86" s="493">
        <f>+BS$29*BU86+BT86</f>
        <v>33049.805303911111</v>
      </c>
      <c r="BW86" s="492">
        <f>+BW85</f>
        <v>15286292.522727285</v>
      </c>
      <c r="BX86" s="476">
        <f>+BX85</f>
        <v>576841.22727272729</v>
      </c>
      <c r="BY86" s="476">
        <f t="shared" si="20"/>
        <v>14709451.295454558</v>
      </c>
      <c r="BZ86" s="493">
        <f>+BW$29*BY86+BX86</f>
        <v>2232379.2292922242</v>
      </c>
      <c r="CA86" s="492">
        <f>+CA85</f>
        <v>1447035.0400000014</v>
      </c>
      <c r="CB86" s="476">
        <f>+CB85</f>
        <v>54433.919999999998</v>
      </c>
      <c r="CC86" s="476">
        <f t="shared" si="21"/>
        <v>1392601.1200000015</v>
      </c>
      <c r="CD86" s="493">
        <f>+CA$29*CC86+CB86</f>
        <v>220247.50337207183</v>
      </c>
      <c r="CE86" s="492">
        <f>+CE85</f>
        <v>124032.01363636376</v>
      </c>
      <c r="CF86" s="476">
        <f>+CF85</f>
        <v>4725.0290909090909</v>
      </c>
      <c r="CG86" s="476">
        <f t="shared" si="22"/>
        <v>119306.98454545467</v>
      </c>
      <c r="CH86" s="493">
        <f>+CE$29*CG86+CF86</f>
        <v>18930.617715452358</v>
      </c>
      <c r="CI86" s="492">
        <f>+CI85</f>
        <v>335854.09090909059</v>
      </c>
      <c r="CJ86" s="476">
        <f>+CJ85</f>
        <v>12362.727272727272</v>
      </c>
      <c r="CK86" s="476">
        <f t="shared" si="23"/>
        <v>323491.3636363633</v>
      </c>
      <c r="CL86" s="493">
        <f>+CI$29*CK86+CJ86</f>
        <v>48771.444026873025</v>
      </c>
      <c r="CM86" s="492">
        <f>+CM85</f>
        <v>15357209.851420458</v>
      </c>
      <c r="CN86" s="476">
        <f>+CN85</f>
        <v>483691.64886363636</v>
      </c>
      <c r="CO86" s="476">
        <f t="shared" si="33"/>
        <v>14873518.202556822</v>
      </c>
      <c r="CP86" s="493">
        <f>+CM$29*CO86+CN86</f>
        <v>2157695.2614709008</v>
      </c>
      <c r="CQ86" s="492">
        <f>+CQ85</f>
        <v>64063116.867102236</v>
      </c>
      <c r="CR86" s="476">
        <f>+CR85</f>
        <v>2017735.9643181816</v>
      </c>
      <c r="CS86" s="476">
        <f t="shared" si="38"/>
        <v>62045380.902784057</v>
      </c>
      <c r="CT86" s="493">
        <f>+CQ$29*CS86+CR86</f>
        <v>9000898.2775225714</v>
      </c>
      <c r="CU86" s="492">
        <f>+CU85</f>
        <v>21638251.920000017</v>
      </c>
      <c r="CV86" s="476">
        <f>+CV85</f>
        <v>676195.37250000006</v>
      </c>
      <c r="CW86" s="476">
        <f t="shared" si="39"/>
        <v>20962056.547500018</v>
      </c>
      <c r="CX86" s="493">
        <f>+CU$29*CW86+CV86</f>
        <v>3035459.5297967298</v>
      </c>
      <c r="CY86" s="492">
        <f>+CY85</f>
        <v>23846.025568181856</v>
      </c>
      <c r="CZ86" s="476">
        <f>+CZ85</f>
        <v>733.72386363636497</v>
      </c>
      <c r="DA86" s="476">
        <f t="shared" si="40"/>
        <v>23112.301704545491</v>
      </c>
      <c r="DB86" s="493">
        <f>+CY$29*DA86+CZ86</f>
        <v>3334.9965431848523</v>
      </c>
      <c r="DC86" s="492">
        <f>+DC85</f>
        <v>1436114.1954545465</v>
      </c>
      <c r="DD86" s="476">
        <f>+DD85</f>
        <v>44530.672727272722</v>
      </c>
      <c r="DE86" s="476">
        <f t="shared" si="41"/>
        <v>1391583.5227272739</v>
      </c>
      <c r="DF86" s="493">
        <f>+DC$29*DE86+DD86</f>
        <v>201152.38203406916</v>
      </c>
      <c r="DG86" s="492">
        <f>+DG85</f>
        <v>800782.91534090857</v>
      </c>
      <c r="DH86" s="476">
        <f>+DH85</f>
        <v>24639.474318181816</v>
      </c>
      <c r="DI86" s="476">
        <f t="shared" si="42"/>
        <v>776143.44102272671</v>
      </c>
      <c r="DJ86" s="493">
        <f>+DG$29*DI86+DH86</f>
        <v>111993.85184199647</v>
      </c>
      <c r="DK86" s="492">
        <f>+DK85</f>
        <v>17680691.685113639</v>
      </c>
      <c r="DL86" s="476">
        <f>+DL85</f>
        <v>549658.80886363634</v>
      </c>
      <c r="DM86" s="476">
        <f t="shared" si="43"/>
        <v>17131032.876250003</v>
      </c>
      <c r="DN86" s="493">
        <f>+DK$29*DM86+DL86</f>
        <v>2477744.0494899293</v>
      </c>
      <c r="DO86" s="492">
        <f>+DO85</f>
        <v>649824.678143939</v>
      </c>
      <c r="DP86" s="476">
        <f t="shared" si="128"/>
        <v>19592.703863636354</v>
      </c>
      <c r="DQ86" s="476">
        <f t="shared" si="144"/>
        <v>630231.97428030265</v>
      </c>
      <c r="DR86" s="493">
        <f t="shared" si="145"/>
        <v>90524.852354534378</v>
      </c>
      <c r="DS86" s="492">
        <f>+DS85</f>
        <v>277907.71636363544</v>
      </c>
      <c r="DT86" s="476">
        <f t="shared" si="129"/>
        <v>8295.7527272726966</v>
      </c>
      <c r="DU86" s="476">
        <f t="shared" si="58"/>
        <v>269611.96363636275</v>
      </c>
      <c r="DV86" s="493">
        <f t="shared" si="63"/>
        <v>38640.382355777394</v>
      </c>
      <c r="DW86" s="492">
        <f>+DW85</f>
        <v>40623.633352272693</v>
      </c>
      <c r="DX86" s="476">
        <f t="shared" si="130"/>
        <v>1221.7634090909089</v>
      </c>
      <c r="DY86" s="476">
        <f t="shared" si="59"/>
        <v>39401.86994318178</v>
      </c>
      <c r="DZ86" s="493">
        <f t="shared" si="64"/>
        <v>5656.4150987650619</v>
      </c>
      <c r="EA86" s="492">
        <f>+EA85</f>
        <v>-241496.89562500158</v>
      </c>
      <c r="EB86" s="476">
        <f t="shared" si="131"/>
        <v>-7120.3015909091364</v>
      </c>
      <c r="EC86" s="476">
        <f t="shared" si="60"/>
        <v>-234376.59403409244</v>
      </c>
      <c r="ED86" s="493">
        <f t="shared" si="65"/>
        <v>-33499.21610060535</v>
      </c>
      <c r="EE86" s="576">
        <f>+EE85</f>
        <v>6817546.8977272771</v>
      </c>
      <c r="EF86" s="580">
        <f t="shared" si="132"/>
        <v>192495.44181818186</v>
      </c>
      <c r="EG86" s="580">
        <f t="shared" si="69"/>
        <v>6625051.4559090957</v>
      </c>
      <c r="EH86" s="493">
        <f t="shared" si="91"/>
        <v>938140.14536884299</v>
      </c>
      <c r="EI86" s="576">
        <f>+EI85</f>
        <v>275780.5570075757</v>
      </c>
      <c r="EJ86" s="580">
        <f t="shared" si="133"/>
        <v>7696.2015909090906</v>
      </c>
      <c r="EK86" s="580">
        <f t="shared" si="70"/>
        <v>268084.3554166666</v>
      </c>
      <c r="EL86" s="493">
        <f t="shared" si="92"/>
        <v>37868.900029792472</v>
      </c>
      <c r="EM86" s="576">
        <f>+EM85</f>
        <v>9405952.5190909076</v>
      </c>
      <c r="EN86" s="580">
        <f t="shared" si="134"/>
        <v>261276.45886363636</v>
      </c>
      <c r="EO86" s="580">
        <f t="shared" si="71"/>
        <v>9144676.0602272712</v>
      </c>
      <c r="EP86" s="493">
        <f t="shared" si="93"/>
        <v>1290503.0717246116</v>
      </c>
      <c r="EQ86" s="576">
        <f>+EQ85</f>
        <v>18271170.215681806</v>
      </c>
      <c r="ER86" s="580">
        <f t="shared" si="135"/>
        <v>500580.00590909086</v>
      </c>
      <c r="ES86" s="580">
        <f t="shared" si="94"/>
        <v>17770590.209772713</v>
      </c>
      <c r="ET86" s="493">
        <f t="shared" si="106"/>
        <v>2500646.9573993571</v>
      </c>
      <c r="EU86" s="576">
        <f>+EU85</f>
        <v>23608772.154090911</v>
      </c>
      <c r="EV86" s="580">
        <f t="shared" si="136"/>
        <v>646815.67545454553</v>
      </c>
      <c r="EW86" s="580">
        <f t="shared" si="95"/>
        <v>22961956.478636365</v>
      </c>
      <c r="EX86" s="493">
        <f t="shared" si="107"/>
        <v>3231167.1096135685</v>
      </c>
      <c r="EY86" s="582">
        <f t="shared" si="103"/>
        <v>41075597.702302605</v>
      </c>
      <c r="EZ86" s="579">
        <f>+EY86</f>
        <v>41075597.702302605</v>
      </c>
      <c r="FA86" s="553"/>
      <c r="FD86" s="492"/>
      <c r="FE86" s="476"/>
      <c r="FF86" s="476"/>
      <c r="FG86" s="493"/>
      <c r="FH86" s="492"/>
      <c r="FI86" s="476"/>
      <c r="FJ86" s="476"/>
      <c r="FK86" s="493"/>
      <c r="FL86" s="492"/>
      <c r="FM86" s="476"/>
      <c r="FN86" s="476"/>
      <c r="FO86" s="493"/>
      <c r="FP86" s="492"/>
      <c r="FQ86" s="476"/>
      <c r="FR86" s="476"/>
      <c r="FS86" s="493"/>
      <c r="FT86" s="492"/>
      <c r="FU86" s="476"/>
      <c r="FV86" s="476"/>
      <c r="FW86" s="493"/>
      <c r="FX86" s="492"/>
      <c r="FY86" s="476"/>
      <c r="FZ86" s="476"/>
      <c r="GA86" s="493"/>
      <c r="GB86" s="492"/>
      <c r="GC86" s="476"/>
      <c r="GD86" s="476"/>
      <c r="GE86" s="493"/>
      <c r="GF86" s="492"/>
      <c r="GG86" s="476"/>
      <c r="GH86" s="476"/>
      <c r="GI86" s="493"/>
      <c r="GJ86" s="492"/>
      <c r="GK86" s="476"/>
      <c r="GL86" s="476"/>
      <c r="GM86" s="493"/>
      <c r="GN86" s="492"/>
      <c r="GO86" s="476"/>
      <c r="GP86" s="476"/>
      <c r="GQ86" s="493"/>
      <c r="GR86" s="492"/>
      <c r="GS86" s="476"/>
      <c r="GT86" s="476"/>
      <c r="GU86" s="493"/>
      <c r="GV86" s="492"/>
      <c r="GW86" s="476"/>
      <c r="GX86" s="476"/>
      <c r="GY86" s="493"/>
      <c r="GZ86" s="492"/>
      <c r="HA86" s="476"/>
      <c r="HB86" s="476"/>
      <c r="HC86" s="493"/>
      <c r="HD86" s="576">
        <f>+HD85</f>
        <v>-4431.9250000000902</v>
      </c>
      <c r="HE86" s="580">
        <f>+HE85</f>
        <v>-4431.9250000000002</v>
      </c>
      <c r="HF86" s="580">
        <f t="shared" si="67"/>
        <v>-9.0039975475519896E-11</v>
      </c>
      <c r="HG86" s="918">
        <f t="shared" si="84"/>
        <v>-4431.925000000012</v>
      </c>
      <c r="HH86" s="576">
        <f>+HH85</f>
        <v>43252.13333333336</v>
      </c>
      <c r="HI86" s="575">
        <f>+HI85</f>
        <v>43252.133333333331</v>
      </c>
      <c r="HJ86" s="575">
        <f t="shared" si="68"/>
        <v>0</v>
      </c>
      <c r="HK86" s="918">
        <f t="shared" si="85"/>
        <v>43252.133333333331</v>
      </c>
      <c r="HL86" s="576">
        <f>+HL85</f>
        <v>476770.99166666722</v>
      </c>
      <c r="HM86" s="580">
        <f>+HM85</f>
        <v>440096.3</v>
      </c>
      <c r="HN86" s="580">
        <f t="shared" si="86"/>
        <v>36674.691666667233</v>
      </c>
      <c r="HO86" s="918">
        <f t="shared" si="99"/>
        <v>444942.27763783082</v>
      </c>
      <c r="HP86" s="576">
        <f>+HP85</f>
        <v>244533.15116666682</v>
      </c>
      <c r="HQ86" s="580">
        <f t="shared" si="142"/>
        <v>94657.993999999992</v>
      </c>
      <c r="HR86" s="580">
        <f t="shared" si="105"/>
        <v>149875.15716666682</v>
      </c>
      <c r="HS86" s="918">
        <f t="shared" si="108"/>
        <v>114461.61407395304</v>
      </c>
      <c r="HT86" s="576">
        <f>+HT85</f>
        <v>143071.5</v>
      </c>
      <c r="HU86" s="580">
        <f t="shared" si="143"/>
        <v>39019.5</v>
      </c>
      <c r="HV86" s="580">
        <f t="shared" si="122"/>
        <v>104052</v>
      </c>
      <c r="HW86" s="918">
        <f t="shared" si="123"/>
        <v>52768.318115623326</v>
      </c>
      <c r="HY86" s="492"/>
      <c r="HZ86" s="476"/>
      <c r="IA86" s="476"/>
      <c r="IB86" s="493"/>
      <c r="IC86" s="492"/>
      <c r="ID86" s="476"/>
      <c r="IE86" s="476"/>
      <c r="IF86" s="493"/>
      <c r="IG86" s="492"/>
      <c r="IH86" s="476"/>
      <c r="II86" s="476"/>
      <c r="IJ86" s="493"/>
    </row>
    <row r="87" spans="1:244">
      <c r="A87" s="554" t="s">
        <v>24</v>
      </c>
      <c r="B87" s="574">
        <v>2030</v>
      </c>
      <c r="C87" s="575">
        <f>+E86</f>
        <v>10141767.638068177</v>
      </c>
      <c r="D87" s="575">
        <f>+C$31</f>
        <v>445791.98409090913</v>
      </c>
      <c r="E87" s="575">
        <f t="shared" si="6"/>
        <v>9695975.6539772674</v>
      </c>
      <c r="F87" s="558">
        <f>+C$28*E87+D87</f>
        <v>1537066.9636528955</v>
      </c>
      <c r="G87" s="575">
        <f>+I86</f>
        <v>2606416.8647727249</v>
      </c>
      <c r="H87" s="575">
        <f>+G$31</f>
        <v>115840.74954545456</v>
      </c>
      <c r="I87" s="575">
        <f t="shared" si="7"/>
        <v>2490576.1152272704</v>
      </c>
      <c r="J87" s="558">
        <f>+G$28*I87+H87</f>
        <v>396153.27262066805</v>
      </c>
      <c r="K87" s="576">
        <f>+M86</f>
        <v>6642879.8047159035</v>
      </c>
      <c r="L87" s="575">
        <f>+K$31</f>
        <v>305419.76113636367</v>
      </c>
      <c r="M87" s="575">
        <f t="shared" si="8"/>
        <v>6337460.0435795402</v>
      </c>
      <c r="N87" s="558">
        <f>+K$28*M87+L87</f>
        <v>1018696.2612372355</v>
      </c>
      <c r="O87" s="576">
        <f>+Q86</f>
        <v>2843705.5833333302</v>
      </c>
      <c r="P87" s="575">
        <f>+O$31</f>
        <v>119316.31818181818</v>
      </c>
      <c r="Q87" s="575">
        <f t="shared" si="11"/>
        <v>2724389.2651515119</v>
      </c>
      <c r="R87" s="558">
        <f>+O$28*Q87+P87</f>
        <v>425944.34054360801</v>
      </c>
      <c r="S87" s="492">
        <f>+U86</f>
        <v>1292664.8042424214</v>
      </c>
      <c r="T87" s="476">
        <f>+S$31</f>
        <v>58315.705454545445</v>
      </c>
      <c r="U87" s="476">
        <f t="shared" si="12"/>
        <v>1234349.0987878758</v>
      </c>
      <c r="V87" s="493">
        <f>+S$28*U87+T87</f>
        <v>197240.79516426983</v>
      </c>
      <c r="W87" s="492">
        <f>+Y86</f>
        <v>16523497.791666672</v>
      </c>
      <c r="X87" s="476">
        <f>+W$31</f>
        <v>693293.61363636365</v>
      </c>
      <c r="Y87" s="476">
        <f t="shared" si="13"/>
        <v>15830204.178030308</v>
      </c>
      <c r="Z87" s="493">
        <f>+W$28*Y87+X87</f>
        <v>2474971.534182285</v>
      </c>
      <c r="AA87" s="492">
        <f>+AC86</f>
        <v>10782429.649621211</v>
      </c>
      <c r="AB87" s="476">
        <f>+AA$31</f>
        <v>450833.29545454547</v>
      </c>
      <c r="AC87" s="476">
        <f t="shared" si="14"/>
        <v>10331596.354166666</v>
      </c>
      <c r="AD87" s="493">
        <f>+AA$28*AC87+AB87</f>
        <v>1613646.9206734889</v>
      </c>
      <c r="AE87" s="492">
        <f>+AG86</f>
        <v>108050.32954545468</v>
      </c>
      <c r="AF87" s="476">
        <f>+AE$31</f>
        <v>4597.886363636364</v>
      </c>
      <c r="AG87" s="476">
        <f t="shared" si="15"/>
        <v>103452.44318181831</v>
      </c>
      <c r="AH87" s="493">
        <f>+AE$28*AG87+AF87</f>
        <v>16241.383299663326</v>
      </c>
      <c r="AI87" s="492">
        <f>+AK86</f>
        <v>7339427.8901515175</v>
      </c>
      <c r="AJ87" s="476">
        <f>+AI$31</f>
        <v>295547.43181818182</v>
      </c>
      <c r="AK87" s="476">
        <f t="shared" si="19"/>
        <v>7043880.4583333358</v>
      </c>
      <c r="AL87" s="493">
        <f>+AI$28*AK87+AJ87</f>
        <v>1088331.0337501517</v>
      </c>
      <c r="AM87" s="492">
        <f>+AO86</f>
        <v>2716239.4342045458</v>
      </c>
      <c r="AN87" s="476">
        <f>+AM$31</f>
        <v>110866.91568181818</v>
      </c>
      <c r="AO87" s="476">
        <f t="shared" si="16"/>
        <v>2605372.5185227278</v>
      </c>
      <c r="AP87" s="493">
        <f>+AM$28*AO87+AN87</f>
        <v>404099.69012014777</v>
      </c>
      <c r="AQ87" s="492">
        <f>+AS86</f>
        <v>22397072.872499999</v>
      </c>
      <c r="AR87" s="476">
        <f>+AQ$31</f>
        <v>904932.23727272719</v>
      </c>
      <c r="AS87" s="476">
        <f t="shared" si="17"/>
        <v>21492140.63522727</v>
      </c>
      <c r="AT87" s="493">
        <f>+AQ$28*AS87+AR87</f>
        <v>3323856.9715598091</v>
      </c>
      <c r="AU87" s="575"/>
      <c r="AV87" s="575"/>
      <c r="AW87" s="575"/>
      <c r="AX87" s="558"/>
      <c r="AY87" s="575"/>
      <c r="AZ87" s="575"/>
      <c r="BA87" s="575"/>
      <c r="BB87" s="558"/>
      <c r="BC87" s="575"/>
      <c r="BD87" s="575"/>
      <c r="BE87" s="575"/>
      <c r="BF87" s="558"/>
      <c r="BG87" s="575"/>
      <c r="BH87" s="575"/>
      <c r="BI87" s="575"/>
      <c r="BJ87" s="558"/>
      <c r="BK87" s="575"/>
      <c r="BL87" s="575"/>
      <c r="BM87" s="575"/>
      <c r="BN87" s="558"/>
      <c r="BO87" s="575"/>
      <c r="BP87" s="575"/>
      <c r="BQ87" s="575"/>
      <c r="BR87" s="558"/>
      <c r="BS87" s="492">
        <f>+BU86</f>
        <v>207772.15909090929</v>
      </c>
      <c r="BT87" s="476">
        <f>+BS$31</f>
        <v>8310.886363636364</v>
      </c>
      <c r="BU87" s="476">
        <f t="shared" si="18"/>
        <v>199461.27272727294</v>
      </c>
      <c r="BV87" s="493">
        <f>+BS$28*BU87+BT87</f>
        <v>30760.106956468197</v>
      </c>
      <c r="BW87" s="492">
        <f>+BY86</f>
        <v>14709451.295454558</v>
      </c>
      <c r="BX87" s="476">
        <f>+BW$31</f>
        <v>576841.22727272729</v>
      </c>
      <c r="BY87" s="476">
        <f t="shared" si="20"/>
        <v>14132610.068181831</v>
      </c>
      <c r="BZ87" s="493">
        <f>+BW$28*BY87+BX87</f>
        <v>2167456.1703894986</v>
      </c>
      <c r="CA87" s="492">
        <f>+CC86</f>
        <v>1392601.1200000015</v>
      </c>
      <c r="CB87" s="476">
        <f>+CA$31</f>
        <v>54433.919999999998</v>
      </c>
      <c r="CC87" s="476">
        <f t="shared" si="21"/>
        <v>1338167.2000000016</v>
      </c>
      <c r="CD87" s="493">
        <f>+CA$28*CC87+CB87</f>
        <v>205043.66119004798</v>
      </c>
      <c r="CE87" s="492">
        <f>+CG86</f>
        <v>119306.98454545467</v>
      </c>
      <c r="CF87" s="476">
        <f>+CE$31</f>
        <v>4725.0290909090909</v>
      </c>
      <c r="CG87" s="476">
        <f t="shared" si="22"/>
        <v>114581.95545454559</v>
      </c>
      <c r="CH87" s="493">
        <f>+CE$28*CG87+CF87</f>
        <v>17621.14450612678</v>
      </c>
      <c r="CI87" s="492">
        <f>+CK86</f>
        <v>323491.3636363633</v>
      </c>
      <c r="CJ87" s="476">
        <f>+CI$31</f>
        <v>12362.727272727272</v>
      </c>
      <c r="CK87" s="476">
        <f t="shared" si="23"/>
        <v>311128.636363636</v>
      </c>
      <c r="CL87" s="493">
        <f>+CI$28*CK87+CJ87</f>
        <v>47380.02809996299</v>
      </c>
      <c r="CM87" s="492">
        <f>+CO86</f>
        <v>14873518.202556822</v>
      </c>
      <c r="CN87" s="476">
        <f>+CM$31</f>
        <v>483691.64886363636</v>
      </c>
      <c r="CO87" s="476">
        <f t="shared" si="33"/>
        <v>14389826.553693186</v>
      </c>
      <c r="CP87" s="493">
        <f>+CM$28*CO87+CN87</f>
        <v>2103256.1195974937</v>
      </c>
      <c r="CQ87" s="492">
        <f>+CS86</f>
        <v>62045380.902784057</v>
      </c>
      <c r="CR87" s="476">
        <f>+CQ$31</f>
        <v>2017735.9643181816</v>
      </c>
      <c r="CS87" s="476">
        <f t="shared" si="38"/>
        <v>60027644.938465878</v>
      </c>
      <c r="CT87" s="493">
        <f>+CQ$28*CS87+CR87</f>
        <v>8773803.5681500714</v>
      </c>
      <c r="CU87" s="492">
        <f>+CW86</f>
        <v>20962056.547500018</v>
      </c>
      <c r="CV87" s="476">
        <f>+CU$31</f>
        <v>676195.37250000006</v>
      </c>
      <c r="CW87" s="476">
        <f t="shared" si="39"/>
        <v>20285861.175000019</v>
      </c>
      <c r="CX87" s="493">
        <f>+CU$28*CW87+CV87</f>
        <v>2959354.2344000614</v>
      </c>
      <c r="CY87" s="492">
        <f>+DA86</f>
        <v>23112.301704545491</v>
      </c>
      <c r="CZ87" s="476">
        <f>+CY$31</f>
        <v>733.72386363636497</v>
      </c>
      <c r="DA87" s="476">
        <f t="shared" si="40"/>
        <v>22378.577840909125</v>
      </c>
      <c r="DB87" s="493">
        <f>+CY$28*DA87+CZ87</f>
        <v>3252.4164581198211</v>
      </c>
      <c r="DC87" s="492">
        <f>+DE86</f>
        <v>1391583.5227272739</v>
      </c>
      <c r="DD87" s="476">
        <f>+DC$31</f>
        <v>44530.672727272722</v>
      </c>
      <c r="DE87" s="476">
        <f t="shared" si="41"/>
        <v>1347052.8500000013</v>
      </c>
      <c r="DF87" s="493">
        <f>+DC$28*DE87+DD87</f>
        <v>196140.48733625168</v>
      </c>
      <c r="DG87" s="492">
        <f>+DI86</f>
        <v>776143.44102272671</v>
      </c>
      <c r="DH87" s="476">
        <f>+DG$31</f>
        <v>24639.474318181816</v>
      </c>
      <c r="DI87" s="476">
        <f t="shared" si="42"/>
        <v>751503.96670454484</v>
      </c>
      <c r="DJ87" s="493">
        <f>+DG$28*DI87+DH87</f>
        <v>109220.69699997061</v>
      </c>
      <c r="DK87" s="492">
        <f>+DM86</f>
        <v>17131032.876250003</v>
      </c>
      <c r="DL87" s="476">
        <f>+DK$31</f>
        <v>549658.80886363634</v>
      </c>
      <c r="DM87" s="476">
        <f t="shared" si="43"/>
        <v>16581374.067386366</v>
      </c>
      <c r="DN87" s="493">
        <f>+DK$28*DM87+DL87</f>
        <v>2415880.3519297275</v>
      </c>
      <c r="DO87" s="492">
        <f>+DQ86</f>
        <v>630231.97428030265</v>
      </c>
      <c r="DP87" s="476">
        <f t="shared" si="128"/>
        <v>19592.703863636354</v>
      </c>
      <c r="DQ87" s="476">
        <f t="shared" ref="DQ87:DQ88" si="146">+DO87-DP87</f>
        <v>610639.27041666629</v>
      </c>
      <c r="DR87" s="493">
        <f t="shared" ref="DR87:DR88" si="147">+DO$29*DQ87+DP87</f>
        <v>88319.707841863972</v>
      </c>
      <c r="DS87" s="492">
        <f>+DU86</f>
        <v>269611.96363636275</v>
      </c>
      <c r="DT87" s="476">
        <f t="shared" si="129"/>
        <v>8295.7527272726966</v>
      </c>
      <c r="DU87" s="476">
        <f t="shared" si="58"/>
        <v>261316.21090909006</v>
      </c>
      <c r="DV87" s="493">
        <f t="shared" si="63"/>
        <v>37706.701444131097</v>
      </c>
      <c r="DW87" s="492">
        <f>+DY86</f>
        <v>39401.86994318178</v>
      </c>
      <c r="DX87" s="476">
        <f t="shared" si="130"/>
        <v>1221.7634090909089</v>
      </c>
      <c r="DY87" s="476">
        <f t="shared" si="59"/>
        <v>38180.106534090868</v>
      </c>
      <c r="DZ87" s="493">
        <f t="shared" si="64"/>
        <v>5518.9065192402813</v>
      </c>
      <c r="EA87" s="492">
        <f>+EC86</f>
        <v>-234376.59403409244</v>
      </c>
      <c r="EB87" s="476">
        <f t="shared" si="131"/>
        <v>-7120.3015909091364</v>
      </c>
      <c r="EC87" s="476">
        <f t="shared" si="60"/>
        <v>-227256.29244318331</v>
      </c>
      <c r="ED87" s="493">
        <f t="shared" si="65"/>
        <v>-32697.831356006991</v>
      </c>
      <c r="EE87" s="576">
        <f>+EG86</f>
        <v>6625051.4559090957</v>
      </c>
      <c r="EF87" s="580">
        <f t="shared" si="132"/>
        <v>192495.44181818186</v>
      </c>
      <c r="EG87" s="580">
        <f t="shared" si="69"/>
        <v>6432556.0140909143</v>
      </c>
      <c r="EH87" s="493">
        <f t="shared" si="91"/>
        <v>916474.92395817011</v>
      </c>
      <c r="EI87" s="576">
        <f>+EK86</f>
        <v>268084.3554166666</v>
      </c>
      <c r="EJ87" s="580">
        <f t="shared" si="133"/>
        <v>7696.2015909090906</v>
      </c>
      <c r="EK87" s="580">
        <f t="shared" si="70"/>
        <v>260388.1538257575</v>
      </c>
      <c r="EL87" s="493">
        <f t="shared" si="92"/>
        <v>37002.698160733613</v>
      </c>
      <c r="EM87" s="576">
        <f>+EO86</f>
        <v>9144676.0602272712</v>
      </c>
      <c r="EN87" s="580">
        <f t="shared" si="134"/>
        <v>261276.45886363636</v>
      </c>
      <c r="EO87" s="580">
        <f t="shared" si="71"/>
        <v>8883399.6013636347</v>
      </c>
      <c r="EP87" s="493">
        <f t="shared" si="93"/>
        <v>1261096.5970714409</v>
      </c>
      <c r="EQ87" s="576">
        <f>+ES86</f>
        <v>17770590.209772713</v>
      </c>
      <c r="ER87" s="580">
        <f t="shared" si="135"/>
        <v>500580.00590909086</v>
      </c>
      <c r="ES87" s="580">
        <f t="shared" si="94"/>
        <v>17270010.203863621</v>
      </c>
      <c r="ET87" s="493">
        <f t="shared" si="106"/>
        <v>2444307.0432728706</v>
      </c>
      <c r="EU87" s="576">
        <f>+EW86</f>
        <v>22961956.478636365</v>
      </c>
      <c r="EV87" s="580">
        <f t="shared" si="136"/>
        <v>646815.67545454553</v>
      </c>
      <c r="EW87" s="580">
        <f t="shared" si="95"/>
        <v>22315140.80318182</v>
      </c>
      <c r="EX87" s="493">
        <f t="shared" si="107"/>
        <v>3158368.4776654271</v>
      </c>
      <c r="EY87" s="582">
        <f t="shared" si="103"/>
        <v>39441515.377395891</v>
      </c>
      <c r="EZ87" s="557"/>
      <c r="FA87" s="578">
        <f>+EY87</f>
        <v>39441515.377395891</v>
      </c>
      <c r="FD87" s="492"/>
      <c r="FE87" s="476"/>
      <c r="FF87" s="476"/>
      <c r="FG87" s="493"/>
      <c r="FH87" s="492"/>
      <c r="FI87" s="476"/>
      <c r="FJ87" s="476"/>
      <c r="FK87" s="493"/>
      <c r="FL87" s="492"/>
      <c r="FM87" s="476"/>
      <c r="FN87" s="476"/>
      <c r="FO87" s="493"/>
      <c r="FP87" s="492"/>
      <c r="FQ87" s="476"/>
      <c r="FR87" s="476"/>
      <c r="FS87" s="493"/>
      <c r="FT87" s="492"/>
      <c r="FU87" s="476"/>
      <c r="FV87" s="476"/>
      <c r="FW87" s="493"/>
      <c r="FX87" s="492"/>
      <c r="FY87" s="476"/>
      <c r="FZ87" s="476"/>
      <c r="GA87" s="493"/>
      <c r="GB87" s="492"/>
      <c r="GC87" s="476"/>
      <c r="GD87" s="476"/>
      <c r="GE87" s="493"/>
      <c r="GF87" s="492"/>
      <c r="GG87" s="476"/>
      <c r="GH87" s="476"/>
      <c r="GI87" s="493"/>
      <c r="GJ87" s="492"/>
      <c r="GK87" s="476"/>
      <c r="GL87" s="476"/>
      <c r="GM87" s="493"/>
      <c r="GN87" s="492"/>
      <c r="GO87" s="476"/>
      <c r="GP87" s="476"/>
      <c r="GQ87" s="493"/>
      <c r="GR87" s="492"/>
      <c r="GS87" s="476"/>
      <c r="GT87" s="476"/>
      <c r="GU87" s="493"/>
      <c r="GV87" s="492"/>
      <c r="GW87" s="476"/>
      <c r="GX87" s="476"/>
      <c r="GY87" s="493"/>
      <c r="GZ87" s="492"/>
      <c r="HA87" s="476"/>
      <c r="HB87" s="476"/>
      <c r="HC87" s="493"/>
      <c r="HD87" s="576"/>
      <c r="HE87" s="580"/>
      <c r="HF87" s="580"/>
      <c r="HG87" s="918"/>
      <c r="HH87" s="919"/>
      <c r="HI87" s="925"/>
      <c r="HJ87" s="925"/>
      <c r="HK87" s="918"/>
      <c r="HL87" s="576">
        <f>+HN86</f>
        <v>36674.691666667233</v>
      </c>
      <c r="HM87" s="580">
        <f>+HL$31/12*(12-11)</f>
        <v>36674.691666666666</v>
      </c>
      <c r="HN87" s="580">
        <f t="shared" si="86"/>
        <v>5.6752469390630722E-10</v>
      </c>
      <c r="HO87" s="918">
        <f t="shared" si="99"/>
        <v>36674.691666666738</v>
      </c>
      <c r="HP87" s="576">
        <f>+HR86</f>
        <v>149875.15716666682</v>
      </c>
      <c r="HQ87" s="580">
        <f t="shared" si="142"/>
        <v>94657.993999999992</v>
      </c>
      <c r="HR87" s="580">
        <f t="shared" si="105"/>
        <v>55217.163166666825</v>
      </c>
      <c r="HS87" s="918">
        <f t="shared" si="108"/>
        <v>101954.06455356165</v>
      </c>
      <c r="HT87" s="576">
        <f>+HV86</f>
        <v>104052</v>
      </c>
      <c r="HU87" s="580">
        <f t="shared" si="143"/>
        <v>39019.5</v>
      </c>
      <c r="HV87" s="580">
        <f t="shared" si="122"/>
        <v>65032.5</v>
      </c>
      <c r="HW87" s="918">
        <f t="shared" si="123"/>
        <v>47612.511322264581</v>
      </c>
      <c r="HY87" s="492"/>
      <c r="HZ87" s="476"/>
      <c r="IA87" s="476"/>
      <c r="IB87" s="493"/>
      <c r="IC87" s="492"/>
      <c r="ID87" s="476"/>
      <c r="IE87" s="476"/>
      <c r="IF87" s="493"/>
      <c r="IG87" s="492"/>
      <c r="IH87" s="476"/>
      <c r="II87" s="476"/>
      <c r="IJ87" s="493"/>
    </row>
    <row r="88" spans="1:244">
      <c r="A88" s="554" t="s">
        <v>23</v>
      </c>
      <c r="B88" s="574">
        <v>2030</v>
      </c>
      <c r="C88" s="575">
        <f>+C87</f>
        <v>10141767.638068177</v>
      </c>
      <c r="D88" s="575">
        <f>+D87</f>
        <v>445791.98409090913</v>
      </c>
      <c r="E88" s="575">
        <f t="shared" si="6"/>
        <v>9695975.6539772674</v>
      </c>
      <c r="F88" s="558">
        <f>+C$29*E88+D88</f>
        <v>1600267.9100289384</v>
      </c>
      <c r="G88" s="575">
        <f>+G87</f>
        <v>2606416.8647727249</v>
      </c>
      <c r="H88" s="575">
        <f>+H87</f>
        <v>115840.74954545456</v>
      </c>
      <c r="I88" s="575">
        <f t="shared" si="7"/>
        <v>2490576.1152272704</v>
      </c>
      <c r="J88" s="558">
        <f>+G$29*I88+H88</f>
        <v>412387.50970225193</v>
      </c>
      <c r="K88" s="576">
        <f>+K87</f>
        <v>6642879.8047159035</v>
      </c>
      <c r="L88" s="575">
        <f>+L87</f>
        <v>305419.76113636367</v>
      </c>
      <c r="M88" s="575">
        <f t="shared" si="8"/>
        <v>6337460.0435795402</v>
      </c>
      <c r="N88" s="558">
        <f>+K$29*M88+L88</f>
        <v>1060005.5102152161</v>
      </c>
      <c r="O88" s="576">
        <f>+O87</f>
        <v>2843705.5833333302</v>
      </c>
      <c r="P88" s="575">
        <f>+P87</f>
        <v>119316.31818181818</v>
      </c>
      <c r="Q88" s="575">
        <f t="shared" si="11"/>
        <v>2724389.2651515119</v>
      </c>
      <c r="R88" s="558">
        <f>+O$29*Q88+P88</f>
        <v>443702.63388087292</v>
      </c>
      <c r="S88" s="492">
        <f>+S87</f>
        <v>1292664.8042424214</v>
      </c>
      <c r="T88" s="476">
        <f>+T87</f>
        <v>58315.705454545445</v>
      </c>
      <c r="U88" s="476">
        <f t="shared" si="12"/>
        <v>1234349.0987878758</v>
      </c>
      <c r="V88" s="493">
        <f>+S$29*U88+T88</f>
        <v>205286.61066400338</v>
      </c>
      <c r="W88" s="492">
        <f>+W87</f>
        <v>16523497.791666672</v>
      </c>
      <c r="X88" s="476">
        <f>+X87</f>
        <v>693293.61363636365</v>
      </c>
      <c r="Y88" s="476">
        <f t="shared" si="13"/>
        <v>15830204.178030308</v>
      </c>
      <c r="Z88" s="493">
        <f>+W$29*Y88+X88</f>
        <v>2578157.0124757569</v>
      </c>
      <c r="AA88" s="492">
        <f>+AA87</f>
        <v>10782429.649621211</v>
      </c>
      <c r="AB88" s="476">
        <f>+AB87</f>
        <v>450833.29545454547</v>
      </c>
      <c r="AC88" s="476">
        <f t="shared" si="14"/>
        <v>10331596.354166666</v>
      </c>
      <c r="AD88" s="493">
        <f>+AA$29*AC88+AB88</f>
        <v>1680991.0117130287</v>
      </c>
      <c r="AE88" s="492">
        <f>+AE87</f>
        <v>108050.32954545468</v>
      </c>
      <c r="AF88" s="476">
        <f>+AF87</f>
        <v>4597.886363636364</v>
      </c>
      <c r="AG88" s="476">
        <f t="shared" si="15"/>
        <v>103452.44318181831</v>
      </c>
      <c r="AH88" s="493">
        <f>+AE$29*AG88+AF88</f>
        <v>16915.713820627738</v>
      </c>
      <c r="AI88" s="492">
        <f>+AI87</f>
        <v>7339427.8901515175</v>
      </c>
      <c r="AJ88" s="476">
        <f>+AJ87</f>
        <v>295547.43181818182</v>
      </c>
      <c r="AK88" s="476">
        <f t="shared" si="19"/>
        <v>7043880.4583333358</v>
      </c>
      <c r="AL88" s="493">
        <f>+AI$29*AK88+AJ88</f>
        <v>1134244.9187487976</v>
      </c>
      <c r="AM88" s="492">
        <f>+AM87</f>
        <v>2716239.4342045458</v>
      </c>
      <c r="AN88" s="476">
        <f>+AN87</f>
        <v>110866.91568181818</v>
      </c>
      <c r="AO88" s="476">
        <f t="shared" si="16"/>
        <v>2605372.5185227278</v>
      </c>
      <c r="AP88" s="493">
        <f>+AM$29*AO88+AN88</f>
        <v>421082.20066979283</v>
      </c>
      <c r="AQ88" s="492">
        <f>+AQ87</f>
        <v>22397072.872499999</v>
      </c>
      <c r="AR88" s="476">
        <f>+AR87</f>
        <v>904932.23727272719</v>
      </c>
      <c r="AS88" s="476">
        <f t="shared" si="17"/>
        <v>21492140.63522727</v>
      </c>
      <c r="AT88" s="493">
        <f>+AQ$29*AS88+AR88</f>
        <v>3463948.4565498927</v>
      </c>
      <c r="AU88" s="575"/>
      <c r="AV88" s="575"/>
      <c r="AW88" s="575"/>
      <c r="AX88" s="558"/>
      <c r="AY88" s="575"/>
      <c r="AZ88" s="575"/>
      <c r="BA88" s="575"/>
      <c r="BB88" s="558"/>
      <c r="BC88" s="575"/>
      <c r="BD88" s="575"/>
      <c r="BE88" s="575"/>
      <c r="BF88" s="558"/>
      <c r="BG88" s="575"/>
      <c r="BH88" s="575"/>
      <c r="BI88" s="575"/>
      <c r="BJ88" s="558"/>
      <c r="BK88" s="575"/>
      <c r="BL88" s="575"/>
      <c r="BM88" s="575"/>
      <c r="BN88" s="558"/>
      <c r="BO88" s="575"/>
      <c r="BP88" s="575"/>
      <c r="BQ88" s="575"/>
      <c r="BR88" s="558"/>
      <c r="BS88" s="492">
        <f>+BS87</f>
        <v>207772.15909090929</v>
      </c>
      <c r="BT88" s="476">
        <f>+BT87</f>
        <v>8310.886363636364</v>
      </c>
      <c r="BU88" s="476">
        <f t="shared" si="18"/>
        <v>199461.27272727294</v>
      </c>
      <c r="BV88" s="493">
        <f>+BS$29*BU88+BT88</f>
        <v>32060.248546300121</v>
      </c>
      <c r="BW88" s="492">
        <f>+BW87</f>
        <v>14709451.295454558</v>
      </c>
      <c r="BX88" s="476">
        <f>+BX87</f>
        <v>576841.22727272729</v>
      </c>
      <c r="BY88" s="476">
        <f t="shared" si="20"/>
        <v>14132610.068181831</v>
      </c>
      <c r="BZ88" s="493">
        <f>+BW$29*BY88+BX88</f>
        <v>2167456.1703894986</v>
      </c>
      <c r="CA88" s="492">
        <f>+CA87</f>
        <v>1392601.1200000015</v>
      </c>
      <c r="CB88" s="476">
        <f>+CB87</f>
        <v>54433.919999999998</v>
      </c>
      <c r="CC88" s="476">
        <f t="shared" si="21"/>
        <v>1338167.2000000016</v>
      </c>
      <c r="CD88" s="493">
        <f>+CA$29*CC88+CB88</f>
        <v>213766.19066697458</v>
      </c>
      <c r="CE88" s="492">
        <f>+CE87</f>
        <v>119306.98454545467</v>
      </c>
      <c r="CF88" s="476">
        <f>+CF87</f>
        <v>4725.0290909090909</v>
      </c>
      <c r="CG88" s="476">
        <f t="shared" si="22"/>
        <v>114581.95545454559</v>
      </c>
      <c r="CH88" s="493">
        <f>+CE$29*CG88+CF88</f>
        <v>18368.020146163515</v>
      </c>
      <c r="CI88" s="492">
        <f>+CI87</f>
        <v>323491.3636363633</v>
      </c>
      <c r="CJ88" s="476">
        <f>+CJ87</f>
        <v>12362.727272727272</v>
      </c>
      <c r="CK88" s="476">
        <f t="shared" si="23"/>
        <v>311128.636363636</v>
      </c>
      <c r="CL88" s="493">
        <f>+CI$29*CK88+CJ88</f>
        <v>47380.02809996299</v>
      </c>
      <c r="CM88" s="492">
        <f>+CM87</f>
        <v>14873518.202556822</v>
      </c>
      <c r="CN88" s="476">
        <f>+CN87</f>
        <v>483691.64886363636</v>
      </c>
      <c r="CO88" s="476">
        <f t="shared" si="33"/>
        <v>14389826.553693186</v>
      </c>
      <c r="CP88" s="493">
        <f>+CM$29*CO88+CN88</f>
        <v>2103256.1195974937</v>
      </c>
      <c r="CQ88" s="492">
        <f>+CQ87</f>
        <v>62045380.902784057</v>
      </c>
      <c r="CR88" s="476">
        <f>+CR87</f>
        <v>2017735.9643181816</v>
      </c>
      <c r="CS88" s="476">
        <f t="shared" si="38"/>
        <v>60027644.938465878</v>
      </c>
      <c r="CT88" s="493">
        <f>+CQ$29*CS88+CR88</f>
        <v>8773803.5681500714</v>
      </c>
      <c r="CU88" s="492">
        <f>+CU87</f>
        <v>20962056.547500018</v>
      </c>
      <c r="CV88" s="476">
        <f>+CV87</f>
        <v>676195.37250000006</v>
      </c>
      <c r="CW88" s="476">
        <f t="shared" si="39"/>
        <v>20285861.175000019</v>
      </c>
      <c r="CX88" s="493">
        <f>+CU$29*CW88+CV88</f>
        <v>2959354.2344000614</v>
      </c>
      <c r="CY88" s="492">
        <f>+CY87</f>
        <v>23112.301704545491</v>
      </c>
      <c r="CZ88" s="476">
        <f>+CZ87</f>
        <v>733.72386363636497</v>
      </c>
      <c r="DA88" s="476">
        <f t="shared" si="40"/>
        <v>22378.577840909125</v>
      </c>
      <c r="DB88" s="493">
        <f>+CY$29*DA88+CZ88</f>
        <v>3252.4164581198211</v>
      </c>
      <c r="DC88" s="492">
        <f>+DC87</f>
        <v>1391583.5227272739</v>
      </c>
      <c r="DD88" s="476">
        <f>+DD87</f>
        <v>44530.672727272722</v>
      </c>
      <c r="DE88" s="476">
        <f t="shared" si="41"/>
        <v>1347052.8500000013</v>
      </c>
      <c r="DF88" s="493">
        <f>+DC$29*DE88+DD88</f>
        <v>196140.48733625168</v>
      </c>
      <c r="DG88" s="492">
        <f>+DG87</f>
        <v>776143.44102272671</v>
      </c>
      <c r="DH88" s="476">
        <f>+DH87</f>
        <v>24639.474318181816</v>
      </c>
      <c r="DI88" s="476">
        <f t="shared" si="42"/>
        <v>751503.96670454484</v>
      </c>
      <c r="DJ88" s="493">
        <f>+DG$29*DI88+DH88</f>
        <v>109220.69699997061</v>
      </c>
      <c r="DK88" s="492">
        <f>+DK87</f>
        <v>17131032.876250003</v>
      </c>
      <c r="DL88" s="476">
        <f>+DL87</f>
        <v>549658.80886363634</v>
      </c>
      <c r="DM88" s="476">
        <f t="shared" si="43"/>
        <v>16581374.067386366</v>
      </c>
      <c r="DN88" s="493">
        <f>+DK$29*DM88+DL88</f>
        <v>2415880.3519297275</v>
      </c>
      <c r="DO88" s="492">
        <f>+DO87</f>
        <v>630231.97428030265</v>
      </c>
      <c r="DP88" s="476">
        <f t="shared" si="128"/>
        <v>19592.703863636354</v>
      </c>
      <c r="DQ88" s="476">
        <f t="shared" si="146"/>
        <v>610639.27041666629</v>
      </c>
      <c r="DR88" s="493">
        <f t="shared" si="147"/>
        <v>88319.707841863972</v>
      </c>
      <c r="DS88" s="492">
        <f>+DS87</f>
        <v>269611.96363636275</v>
      </c>
      <c r="DT88" s="476">
        <f t="shared" si="129"/>
        <v>8295.7527272726966</v>
      </c>
      <c r="DU88" s="476">
        <f t="shared" si="58"/>
        <v>261316.21090909006</v>
      </c>
      <c r="DV88" s="493">
        <f t="shared" si="63"/>
        <v>37706.701444131097</v>
      </c>
      <c r="DW88" s="492">
        <f>+DW87</f>
        <v>39401.86994318178</v>
      </c>
      <c r="DX88" s="476">
        <f t="shared" si="130"/>
        <v>1221.7634090909089</v>
      </c>
      <c r="DY88" s="476">
        <f t="shared" si="59"/>
        <v>38180.106534090868</v>
      </c>
      <c r="DZ88" s="493">
        <f t="shared" si="64"/>
        <v>5518.9065192402813</v>
      </c>
      <c r="EA88" s="492">
        <f>+EA87</f>
        <v>-234376.59403409244</v>
      </c>
      <c r="EB88" s="476">
        <f t="shared" si="131"/>
        <v>-7120.3015909091364</v>
      </c>
      <c r="EC88" s="476">
        <f t="shared" si="60"/>
        <v>-227256.29244318331</v>
      </c>
      <c r="ED88" s="493">
        <f t="shared" si="65"/>
        <v>-32697.831356006991</v>
      </c>
      <c r="EE88" s="576">
        <f>+EE87</f>
        <v>6625051.4559090957</v>
      </c>
      <c r="EF88" s="580">
        <f t="shared" si="132"/>
        <v>192495.44181818186</v>
      </c>
      <c r="EG88" s="580">
        <f t="shared" si="69"/>
        <v>6432556.0140909143</v>
      </c>
      <c r="EH88" s="493">
        <f t="shared" si="91"/>
        <v>916474.92395817011</v>
      </c>
      <c r="EI88" s="576">
        <f>+EI87</f>
        <v>268084.3554166666</v>
      </c>
      <c r="EJ88" s="580">
        <f t="shared" si="133"/>
        <v>7696.2015909090906</v>
      </c>
      <c r="EK88" s="580">
        <f t="shared" si="70"/>
        <v>260388.1538257575</v>
      </c>
      <c r="EL88" s="493">
        <f t="shared" si="92"/>
        <v>37002.698160733613</v>
      </c>
      <c r="EM88" s="576">
        <f>+EM87</f>
        <v>9144676.0602272712</v>
      </c>
      <c r="EN88" s="580">
        <f t="shared" si="134"/>
        <v>261276.45886363636</v>
      </c>
      <c r="EO88" s="580">
        <f t="shared" si="71"/>
        <v>8883399.6013636347</v>
      </c>
      <c r="EP88" s="493">
        <f t="shared" si="93"/>
        <v>1261096.5970714409</v>
      </c>
      <c r="EQ88" s="576">
        <f>+EQ87</f>
        <v>17770590.209772713</v>
      </c>
      <c r="ER88" s="580">
        <f t="shared" si="135"/>
        <v>500580.00590909086</v>
      </c>
      <c r="ES88" s="580">
        <f t="shared" si="94"/>
        <v>17270010.203863621</v>
      </c>
      <c r="ET88" s="493">
        <f t="shared" si="106"/>
        <v>2444307.0432728706</v>
      </c>
      <c r="EU88" s="576">
        <f>+EU87</f>
        <v>22961956.478636365</v>
      </c>
      <c r="EV88" s="580">
        <f t="shared" si="136"/>
        <v>646815.67545454553</v>
      </c>
      <c r="EW88" s="580">
        <f t="shared" si="95"/>
        <v>22315140.80318182</v>
      </c>
      <c r="EX88" s="493">
        <f t="shared" si="107"/>
        <v>3158368.4776654271</v>
      </c>
      <c r="EY88" s="582">
        <f t="shared" si="103"/>
        <v>39973025.245767646</v>
      </c>
      <c r="EZ88" s="579">
        <f>+EY88</f>
        <v>39973025.245767646</v>
      </c>
      <c r="FA88" s="553"/>
      <c r="FD88" s="492"/>
      <c r="FE88" s="476"/>
      <c r="FF88" s="476"/>
      <c r="FG88" s="493"/>
      <c r="FH88" s="492"/>
      <c r="FI88" s="476"/>
      <c r="FJ88" s="476"/>
      <c r="FK88" s="493"/>
      <c r="FL88" s="492"/>
      <c r="FM88" s="476"/>
      <c r="FN88" s="476"/>
      <c r="FO88" s="493"/>
      <c r="FP88" s="492"/>
      <c r="FQ88" s="476"/>
      <c r="FR88" s="476"/>
      <c r="FS88" s="493"/>
      <c r="FT88" s="492"/>
      <c r="FU88" s="476"/>
      <c r="FV88" s="476"/>
      <c r="FW88" s="493"/>
      <c r="FX88" s="492"/>
      <c r="FY88" s="476"/>
      <c r="FZ88" s="476"/>
      <c r="GA88" s="493"/>
      <c r="GB88" s="492"/>
      <c r="GC88" s="476"/>
      <c r="GD88" s="476"/>
      <c r="GE88" s="493"/>
      <c r="GF88" s="492"/>
      <c r="GG88" s="476"/>
      <c r="GH88" s="476"/>
      <c r="GI88" s="493"/>
      <c r="GJ88" s="492"/>
      <c r="GK88" s="476"/>
      <c r="GL88" s="476"/>
      <c r="GM88" s="493"/>
      <c r="GN88" s="492"/>
      <c r="GO88" s="476"/>
      <c r="GP88" s="476"/>
      <c r="GQ88" s="493"/>
      <c r="GR88" s="492"/>
      <c r="GS88" s="476"/>
      <c r="GT88" s="476"/>
      <c r="GU88" s="493"/>
      <c r="GV88" s="492"/>
      <c r="GW88" s="476"/>
      <c r="GX88" s="476"/>
      <c r="GY88" s="493"/>
      <c r="GZ88" s="492"/>
      <c r="HA88" s="476"/>
      <c r="HB88" s="476"/>
      <c r="HC88" s="493"/>
      <c r="HD88" s="576"/>
      <c r="HE88" s="580"/>
      <c r="HF88" s="580"/>
      <c r="HG88" s="918"/>
      <c r="HH88" s="919"/>
      <c r="HI88" s="925"/>
      <c r="HJ88" s="925"/>
      <c r="HK88" s="918"/>
      <c r="HL88" s="576">
        <f>+HL87</f>
        <v>36674.691666667233</v>
      </c>
      <c r="HM88" s="580">
        <f>+HM87</f>
        <v>36674.691666666666</v>
      </c>
      <c r="HN88" s="580">
        <f t="shared" si="86"/>
        <v>5.6752469390630722E-10</v>
      </c>
      <c r="HO88" s="918">
        <f t="shared" si="99"/>
        <v>36674.691666666738</v>
      </c>
      <c r="HP88" s="576">
        <f>+HP87</f>
        <v>149875.15716666682</v>
      </c>
      <c r="HQ88" s="580">
        <f t="shared" si="142"/>
        <v>94657.993999999992</v>
      </c>
      <c r="HR88" s="580">
        <f t="shared" si="105"/>
        <v>55217.163166666825</v>
      </c>
      <c r="HS88" s="918">
        <f t="shared" si="108"/>
        <v>101954.06455356165</v>
      </c>
      <c r="HT88" s="576">
        <f>+HT87</f>
        <v>104052</v>
      </c>
      <c r="HU88" s="580">
        <f t="shared" si="143"/>
        <v>39019.5</v>
      </c>
      <c r="HV88" s="580">
        <f t="shared" si="122"/>
        <v>65032.5</v>
      </c>
      <c r="HW88" s="918">
        <f t="shared" si="123"/>
        <v>47612.511322264581</v>
      </c>
      <c r="HY88" s="492"/>
      <c r="HZ88" s="476"/>
      <c r="IA88" s="476"/>
      <c r="IB88" s="493"/>
      <c r="IC88" s="492"/>
      <c r="ID88" s="476"/>
      <c r="IE88" s="476"/>
      <c r="IF88" s="493"/>
      <c r="IG88" s="492"/>
      <c r="IH88" s="476"/>
      <c r="II88" s="476"/>
      <c r="IJ88" s="493"/>
    </row>
    <row r="89" spans="1:244">
      <c r="A89" s="554" t="s">
        <v>24</v>
      </c>
      <c r="B89" s="574">
        <v>2031</v>
      </c>
      <c r="C89" s="575">
        <f>+E88</f>
        <v>9695975.6539772674</v>
      </c>
      <c r="D89" s="575">
        <f>+C$31</f>
        <v>445791.98409090913</v>
      </c>
      <c r="E89" s="575">
        <f t="shared" si="6"/>
        <v>9250183.6698863581</v>
      </c>
      <c r="F89" s="558">
        <f>+C$28*E89+D89</f>
        <v>1486893.4013741836</v>
      </c>
      <c r="G89" s="575">
        <f>+I88</f>
        <v>2490576.1152272704</v>
      </c>
      <c r="H89" s="575">
        <f>+G$31</f>
        <v>115840.74954545456</v>
      </c>
      <c r="I89" s="575">
        <f t="shared" si="7"/>
        <v>2374735.3656818159</v>
      </c>
      <c r="J89" s="558">
        <f>+G$28*I89+H89</f>
        <v>383115.48084972787</v>
      </c>
      <c r="K89" s="576">
        <f>+M88</f>
        <v>6337460.0435795402</v>
      </c>
      <c r="L89" s="575">
        <f>+K$31</f>
        <v>305419.76113636367</v>
      </c>
      <c r="M89" s="575">
        <f t="shared" si="8"/>
        <v>6032040.282443177</v>
      </c>
      <c r="N89" s="558">
        <f>+K$28*M89+L89</f>
        <v>984321.49014803697</v>
      </c>
      <c r="O89" s="576">
        <f>+Q88</f>
        <v>2724389.2651515119</v>
      </c>
      <c r="P89" s="575">
        <f>+O$31</f>
        <v>119316.31818181818</v>
      </c>
      <c r="Q89" s="575">
        <f t="shared" si="11"/>
        <v>2605072.9469696935</v>
      </c>
      <c r="R89" s="558">
        <f>+O$28*Q89+P89</f>
        <v>412515.37606060988</v>
      </c>
      <c r="S89" s="492">
        <f>+U88</f>
        <v>1234349.0987878758</v>
      </c>
      <c r="T89" s="476">
        <f>+S$31</f>
        <v>58315.705454545445</v>
      </c>
      <c r="U89" s="476">
        <f t="shared" si="12"/>
        <v>1176033.3933333303</v>
      </c>
      <c r="V89" s="493">
        <f>+S$28*U89+T89</f>
        <v>190677.40509924348</v>
      </c>
      <c r="W89" s="492">
        <f>+Y88</f>
        <v>15830204.178030308</v>
      </c>
      <c r="X89" s="476">
        <f>+W$31</f>
        <v>693293.61363636365</v>
      </c>
      <c r="Y89" s="476">
        <f t="shared" si="13"/>
        <v>15136910.564393945</v>
      </c>
      <c r="Z89" s="493">
        <f>+W$28*Y89+X89</f>
        <v>2396941.8442313685</v>
      </c>
      <c r="AA89" s="492">
        <f>+AC88</f>
        <v>10331596.354166666</v>
      </c>
      <c r="AB89" s="476">
        <f>+AA$31</f>
        <v>450833.29545454547</v>
      </c>
      <c r="AC89" s="476">
        <f t="shared" si="14"/>
        <v>9880763.0587121211</v>
      </c>
      <c r="AD89" s="493">
        <f>+AA$28*AC89+AB89</f>
        <v>1562905.9624821169</v>
      </c>
      <c r="AE89" s="492">
        <f>+AG88</f>
        <v>103452.44318181831</v>
      </c>
      <c r="AF89" s="476">
        <f>+AE$31</f>
        <v>4597.886363636364</v>
      </c>
      <c r="AG89" s="476">
        <f t="shared" si="15"/>
        <v>98854.55681818194</v>
      </c>
      <c r="AH89" s="493">
        <f>+AE$28*AG89+AF89</f>
        <v>15723.894546951016</v>
      </c>
      <c r="AI89" s="492">
        <f>+AK88</f>
        <v>7043880.4583333358</v>
      </c>
      <c r="AJ89" s="476">
        <f>+AI$31</f>
        <v>295547.43181818182</v>
      </c>
      <c r="AK89" s="476">
        <f t="shared" si="19"/>
        <v>6748333.0265151542</v>
      </c>
      <c r="AL89" s="493">
        <f>+AI$28*AK89+AJ89</f>
        <v>1055067.3861166427</v>
      </c>
      <c r="AM89" s="492">
        <f>+AO88</f>
        <v>2605372.5185227278</v>
      </c>
      <c r="AN89" s="476">
        <f>+AM$31</f>
        <v>110866.91568181818</v>
      </c>
      <c r="AO89" s="476">
        <f t="shared" si="16"/>
        <v>2494505.6028409097</v>
      </c>
      <c r="AP89" s="493">
        <f>+AM$28*AO89+AN89</f>
        <v>391621.69971851667</v>
      </c>
      <c r="AQ89" s="492">
        <f>+AS88</f>
        <v>21492140.63522727</v>
      </c>
      <c r="AR89" s="476">
        <f>+AQ$31</f>
        <v>904932.23727272719</v>
      </c>
      <c r="AS89" s="476">
        <f t="shared" si="17"/>
        <v>20587208.397954542</v>
      </c>
      <c r="AT89" s="493">
        <f>+AQ$28*AS89+AR89</f>
        <v>3222007.5090635112</v>
      </c>
      <c r="AU89" s="575"/>
      <c r="AV89" s="575"/>
      <c r="AW89" s="575"/>
      <c r="AX89" s="558"/>
      <c r="AY89" s="575"/>
      <c r="AZ89" s="575"/>
      <c r="BA89" s="575"/>
      <c r="BB89" s="558"/>
      <c r="BC89" s="575"/>
      <c r="BD89" s="575"/>
      <c r="BE89" s="575"/>
      <c r="BF89" s="558"/>
      <c r="BG89" s="575"/>
      <c r="BH89" s="575"/>
      <c r="BI89" s="575"/>
      <c r="BJ89" s="558"/>
      <c r="BK89" s="575"/>
      <c r="BL89" s="575"/>
      <c r="BM89" s="575"/>
      <c r="BN89" s="558"/>
      <c r="BO89" s="575"/>
      <c r="BP89" s="575"/>
      <c r="BQ89" s="575"/>
      <c r="BR89" s="558"/>
      <c r="BS89" s="492">
        <f>+BU88</f>
        <v>199461.27272727294</v>
      </c>
      <c r="BT89" s="476">
        <f>+BS$31</f>
        <v>8310.886363636364</v>
      </c>
      <c r="BU89" s="476">
        <f t="shared" si="18"/>
        <v>191150.38636363659</v>
      </c>
      <c r="BV89" s="493">
        <f>+BS$28*BU89+BT89</f>
        <v>29824.722765100207</v>
      </c>
      <c r="BW89" s="492">
        <f>+BY88</f>
        <v>14132610.068181831</v>
      </c>
      <c r="BX89" s="476">
        <f>+BW$31</f>
        <v>576841.22727272729</v>
      </c>
      <c r="BY89" s="476">
        <f t="shared" si="20"/>
        <v>13555768.840909105</v>
      </c>
      <c r="BZ89" s="493">
        <f>+BW$28*BY89+BX89</f>
        <v>2102533.1114867735</v>
      </c>
      <c r="CA89" s="492">
        <f>+CC88</f>
        <v>1338167.2000000016</v>
      </c>
      <c r="CB89" s="476">
        <f>+CA$31</f>
        <v>54433.919999999998</v>
      </c>
      <c r="CC89" s="476">
        <f t="shared" si="21"/>
        <v>1283733.2800000017</v>
      </c>
      <c r="CD89" s="493">
        <f>+CA$28*CC89+CB89</f>
        <v>198917.16324333416</v>
      </c>
      <c r="CE89" s="492">
        <f>+CG88</f>
        <v>114581.95545454559</v>
      </c>
      <c r="CF89" s="476">
        <f>+CE$31</f>
        <v>4725.0290909090909</v>
      </c>
      <c r="CG89" s="476">
        <f t="shared" si="22"/>
        <v>109856.92636363651</v>
      </c>
      <c r="CH89" s="493">
        <f>+CE$28*CG89+CF89</f>
        <v>17089.345932303375</v>
      </c>
      <c r="CI89" s="492">
        <f>+CK88</f>
        <v>311128.636363636</v>
      </c>
      <c r="CJ89" s="476">
        <f>+CI$31</f>
        <v>12362.727272727272</v>
      </c>
      <c r="CK89" s="476">
        <f t="shared" si="23"/>
        <v>298765.90909090871</v>
      </c>
      <c r="CL89" s="493">
        <f>+CI$28*CK89+CJ89</f>
        <v>45988.612173052963</v>
      </c>
      <c r="CM89" s="492">
        <f>+CO88</f>
        <v>14389826.553693186</v>
      </c>
      <c r="CN89" s="476">
        <f>+CM$31</f>
        <v>483691.64886363636</v>
      </c>
      <c r="CO89" s="476">
        <f t="shared" si="33"/>
        <v>13906134.904829551</v>
      </c>
      <c r="CP89" s="493">
        <f>+CM$28*CO89+CN89</f>
        <v>2048816.9777240872</v>
      </c>
      <c r="CQ89" s="492">
        <f>+CS88</f>
        <v>60027644.938465878</v>
      </c>
      <c r="CR89" s="476">
        <f>+CQ$31</f>
        <v>2017735.9643181816</v>
      </c>
      <c r="CS89" s="476">
        <f t="shared" si="38"/>
        <v>58009908.9741477</v>
      </c>
      <c r="CT89" s="493">
        <f>+CQ$28*CS89+CR89</f>
        <v>8546708.8587775715</v>
      </c>
      <c r="CU89" s="492">
        <f>+CW88</f>
        <v>20285861.175000019</v>
      </c>
      <c r="CV89" s="476">
        <f>+CU$31</f>
        <v>676195.37250000006</v>
      </c>
      <c r="CW89" s="476">
        <f t="shared" si="39"/>
        <v>19609665.802500021</v>
      </c>
      <c r="CX89" s="493">
        <f>+CU$28*CW89+CV89</f>
        <v>2883248.9390033931</v>
      </c>
      <c r="CY89" s="492">
        <f>+DA88</f>
        <v>22378.577840909125</v>
      </c>
      <c r="CZ89" s="476">
        <f>+CY$31</f>
        <v>733.72386363636497</v>
      </c>
      <c r="DA89" s="476">
        <f t="shared" si="40"/>
        <v>21644.85397727276</v>
      </c>
      <c r="DB89" s="493">
        <f>+CY$28*DA89+CZ89</f>
        <v>3169.8363730547894</v>
      </c>
      <c r="DC89" s="492">
        <f>+DE88</f>
        <v>1347052.8500000013</v>
      </c>
      <c r="DD89" s="476">
        <f>+DC$31</f>
        <v>44530.672727272722</v>
      </c>
      <c r="DE89" s="476">
        <f t="shared" si="41"/>
        <v>1302522.1772727286</v>
      </c>
      <c r="DF89" s="493">
        <f>+DC$28*DE89+DD89</f>
        <v>191128.5926384342</v>
      </c>
      <c r="DG89" s="492">
        <f>+DI88</f>
        <v>751503.96670454484</v>
      </c>
      <c r="DH89" s="476">
        <f>+DG$31</f>
        <v>24639.474318181816</v>
      </c>
      <c r="DI89" s="476">
        <f t="shared" si="42"/>
        <v>726864.49238636298</v>
      </c>
      <c r="DJ89" s="493">
        <f>+DG$28*DI89+DH89</f>
        <v>106447.54215794473</v>
      </c>
      <c r="DK89" s="492">
        <f>+DM88</f>
        <v>16581374.067386366</v>
      </c>
      <c r="DL89" s="476">
        <f>+DK$31</f>
        <v>549658.80886363634</v>
      </c>
      <c r="DM89" s="476">
        <f t="shared" si="43"/>
        <v>16031715.25852273</v>
      </c>
      <c r="DN89" s="493">
        <f>+DK$28*DM89+DL89</f>
        <v>2354016.6543695256</v>
      </c>
      <c r="DO89" s="492">
        <f>+DQ88</f>
        <v>610639.27041666629</v>
      </c>
      <c r="DP89" s="476">
        <f t="shared" si="128"/>
        <v>19592.703863636354</v>
      </c>
      <c r="DQ89" s="476">
        <f t="shared" ref="DQ89:DQ148" si="148">+DO89-DP89</f>
        <v>591046.56655302993</v>
      </c>
      <c r="DR89" s="493">
        <f t="shared" ref="DR89:DR90" si="149">+DO$29*DQ89+DP89</f>
        <v>86114.563329193566</v>
      </c>
      <c r="DS89" s="492">
        <f>+DU88</f>
        <v>261316.21090909006</v>
      </c>
      <c r="DT89" s="476">
        <f t="shared" si="129"/>
        <v>8295.7527272726966</v>
      </c>
      <c r="DU89" s="476">
        <f t="shared" si="58"/>
        <v>253020.45818181738</v>
      </c>
      <c r="DV89" s="493">
        <f t="shared" si="63"/>
        <v>36773.020532484799</v>
      </c>
      <c r="DW89" s="492">
        <f>+DY88</f>
        <v>38180.106534090868</v>
      </c>
      <c r="DX89" s="476">
        <f t="shared" si="130"/>
        <v>1221.7634090909089</v>
      </c>
      <c r="DY89" s="476">
        <f t="shared" si="59"/>
        <v>36958.343124999956</v>
      </c>
      <c r="DZ89" s="493">
        <f t="shared" si="64"/>
        <v>5381.3979397155017</v>
      </c>
      <c r="EA89" s="492">
        <f>+EC88</f>
        <v>-227256.29244318331</v>
      </c>
      <c r="EB89" s="476">
        <f t="shared" si="131"/>
        <v>-7120.3015909091364</v>
      </c>
      <c r="EC89" s="476">
        <f t="shared" si="60"/>
        <v>-220135.99085227418</v>
      </c>
      <c r="ED89" s="493">
        <f t="shared" si="65"/>
        <v>-31896.446611408624</v>
      </c>
      <c r="EE89" s="576">
        <f>+EG88</f>
        <v>6432556.0140909143</v>
      </c>
      <c r="EF89" s="580">
        <f t="shared" si="132"/>
        <v>192495.44181818186</v>
      </c>
      <c r="EG89" s="580">
        <f t="shared" si="69"/>
        <v>6240060.5722727329</v>
      </c>
      <c r="EH89" s="493">
        <f t="shared" si="91"/>
        <v>894809.70254749712</v>
      </c>
      <c r="EI89" s="576">
        <f>+EK88</f>
        <v>260388.1538257575</v>
      </c>
      <c r="EJ89" s="580">
        <f t="shared" si="133"/>
        <v>7696.2015909090906</v>
      </c>
      <c r="EK89" s="580">
        <f t="shared" si="70"/>
        <v>252691.9522348484</v>
      </c>
      <c r="EL89" s="493">
        <f t="shared" si="92"/>
        <v>36136.496291674761</v>
      </c>
      <c r="EM89" s="576">
        <f>+EO88</f>
        <v>8883399.6013636347</v>
      </c>
      <c r="EN89" s="580">
        <f t="shared" si="134"/>
        <v>261276.45886363636</v>
      </c>
      <c r="EO89" s="580">
        <f t="shared" si="71"/>
        <v>8622123.1424999982</v>
      </c>
      <c r="EP89" s="493">
        <f t="shared" si="93"/>
        <v>1231690.12241827</v>
      </c>
      <c r="EQ89" s="576">
        <f>+ES88</f>
        <v>17270010.203863621</v>
      </c>
      <c r="ER89" s="580">
        <f t="shared" si="135"/>
        <v>500580.00590909086</v>
      </c>
      <c r="ES89" s="580">
        <f t="shared" si="94"/>
        <v>16769430.19795453</v>
      </c>
      <c r="ET89" s="493">
        <f t="shared" si="106"/>
        <v>2387967.1291463841</v>
      </c>
      <c r="EU89" s="576">
        <f>+EW88</f>
        <v>22315140.80318182</v>
      </c>
      <c r="EV89" s="580">
        <f t="shared" si="136"/>
        <v>646815.67545454553</v>
      </c>
      <c r="EW89" s="580">
        <f t="shared" si="95"/>
        <v>21668325.127727274</v>
      </c>
      <c r="EX89" s="493">
        <f t="shared" si="107"/>
        <v>3085569.8457172858</v>
      </c>
      <c r="EY89" s="582">
        <f t="shared" si="103"/>
        <v>38362227.637646586</v>
      </c>
      <c r="EZ89" s="557"/>
      <c r="FA89" s="578">
        <f>+EY89</f>
        <v>38362227.637646586</v>
      </c>
      <c r="FD89" s="492"/>
      <c r="FE89" s="476"/>
      <c r="FF89" s="476"/>
      <c r="FG89" s="493"/>
      <c r="FH89" s="492"/>
      <c r="FI89" s="476"/>
      <c r="FJ89" s="476"/>
      <c r="FK89" s="493"/>
      <c r="FL89" s="492"/>
      <c r="FM89" s="476"/>
      <c r="FN89" s="476"/>
      <c r="FO89" s="493"/>
      <c r="FP89" s="492"/>
      <c r="FQ89" s="476"/>
      <c r="FR89" s="476"/>
      <c r="FS89" s="493"/>
      <c r="FT89" s="492"/>
      <c r="FU89" s="476"/>
      <c r="FV89" s="476"/>
      <c r="FW89" s="493"/>
      <c r="FX89" s="492"/>
      <c r="FY89" s="476"/>
      <c r="FZ89" s="476"/>
      <c r="GA89" s="493"/>
      <c r="GB89" s="492"/>
      <c r="GC89" s="476"/>
      <c r="GD89" s="476"/>
      <c r="GE89" s="493"/>
      <c r="GF89" s="492"/>
      <c r="GG89" s="476"/>
      <c r="GH89" s="476"/>
      <c r="GI89" s="493"/>
      <c r="GJ89" s="492"/>
      <c r="GK89" s="476"/>
      <c r="GL89" s="476"/>
      <c r="GM89" s="493"/>
      <c r="GN89" s="492"/>
      <c r="GO89" s="476"/>
      <c r="GP89" s="476"/>
      <c r="GQ89" s="493"/>
      <c r="GR89" s="492"/>
      <c r="GS89" s="476"/>
      <c r="GT89" s="476"/>
      <c r="GU89" s="493"/>
      <c r="GV89" s="492"/>
      <c r="GW89" s="476"/>
      <c r="GX89" s="476"/>
      <c r="GY89" s="493"/>
      <c r="GZ89" s="492"/>
      <c r="HA89" s="476"/>
      <c r="HB89" s="476"/>
      <c r="HC89" s="493"/>
      <c r="HD89" s="576"/>
      <c r="HE89" s="580"/>
      <c r="HF89" s="580"/>
      <c r="HG89" s="918"/>
      <c r="HH89" s="919"/>
      <c r="HI89" s="925"/>
      <c r="HJ89" s="925"/>
      <c r="HK89" s="918"/>
      <c r="HL89" s="919"/>
      <c r="HM89" s="925"/>
      <c r="HN89" s="925"/>
      <c r="HO89" s="918"/>
      <c r="HP89" s="576">
        <f>+HR88</f>
        <v>55217.163166666825</v>
      </c>
      <c r="HQ89" s="580">
        <f>+HP$31/12*(12-5)</f>
        <v>55217.163166666665</v>
      </c>
      <c r="HR89" s="676">
        <f t="shared" si="105"/>
        <v>1.6007106751203537E-10</v>
      </c>
      <c r="HS89" s="918">
        <f t="shared" si="108"/>
        <v>55217.163166666687</v>
      </c>
      <c r="HT89" s="576">
        <f>+HV88</f>
        <v>65032.5</v>
      </c>
      <c r="HU89" s="580">
        <f t="shared" si="143"/>
        <v>39019.5</v>
      </c>
      <c r="HV89" s="580">
        <f t="shared" si="122"/>
        <v>26013</v>
      </c>
      <c r="HW89" s="918">
        <f t="shared" si="123"/>
        <v>42456.70452890583</v>
      </c>
      <c r="HY89" s="492"/>
      <c r="HZ89" s="476"/>
      <c r="IA89" s="476"/>
      <c r="IB89" s="493"/>
      <c r="IC89" s="492"/>
      <c r="ID89" s="476"/>
      <c r="IE89" s="476"/>
      <c r="IF89" s="493"/>
      <c r="IG89" s="492"/>
      <c r="IH89" s="476"/>
      <c r="II89" s="476"/>
      <c r="IJ89" s="493"/>
    </row>
    <row r="90" spans="1:244">
      <c r="A90" s="554" t="s">
        <v>23</v>
      </c>
      <c r="B90" s="574">
        <v>2031</v>
      </c>
      <c r="C90" s="575">
        <f>+C89</f>
        <v>9695975.6539772674</v>
      </c>
      <c r="D90" s="575">
        <f>+D89</f>
        <v>445791.98409090913</v>
      </c>
      <c r="E90" s="575">
        <f t="shared" si="6"/>
        <v>9250183.6698863581</v>
      </c>
      <c r="F90" s="558">
        <f>+C$29*E90+D90</f>
        <v>1547188.5571122475</v>
      </c>
      <c r="G90" s="575">
        <f>+G89</f>
        <v>2490576.1152272704</v>
      </c>
      <c r="H90" s="575">
        <f>+H89</f>
        <v>115840.74954545456</v>
      </c>
      <c r="I90" s="575">
        <f t="shared" si="7"/>
        <v>2374735.3656818159</v>
      </c>
      <c r="J90" s="558">
        <f>+G$29*I90+H90</f>
        <v>398594.63713681948</v>
      </c>
      <c r="K90" s="576">
        <f>+K89</f>
        <v>6337460.0435795402</v>
      </c>
      <c r="L90" s="575">
        <f>+L89</f>
        <v>305419.76113636367</v>
      </c>
      <c r="M90" s="575">
        <f t="shared" si="8"/>
        <v>6032040.282443177</v>
      </c>
      <c r="N90" s="558">
        <f>+K$29*M90+L90</f>
        <v>1023639.9319463558</v>
      </c>
      <c r="O90" s="576">
        <f>+O89</f>
        <v>2724389.2651515119</v>
      </c>
      <c r="P90" s="575">
        <f>+P89</f>
        <v>119316.31818181818</v>
      </c>
      <c r="Q90" s="575">
        <f t="shared" si="11"/>
        <v>2605072.9469696935</v>
      </c>
      <c r="R90" s="558">
        <f>+O$29*Q90+P90</f>
        <v>429495.93392325006</v>
      </c>
      <c r="S90" s="492">
        <f>+S89</f>
        <v>1234349.0987878758</v>
      </c>
      <c r="T90" s="476">
        <f>+T89</f>
        <v>58315.705454545445</v>
      </c>
      <c r="U90" s="476">
        <f t="shared" si="12"/>
        <v>1176033.3933333303</v>
      </c>
      <c r="V90" s="493">
        <f>+S$29*U90+T90</f>
        <v>198343.10333127307</v>
      </c>
      <c r="W90" s="492">
        <f>+W89</f>
        <v>15830204.178030308</v>
      </c>
      <c r="X90" s="476">
        <f>+X89</f>
        <v>693293.61363636365</v>
      </c>
      <c r="Y90" s="476">
        <f t="shared" si="13"/>
        <v>15136910.564393945</v>
      </c>
      <c r="Z90" s="493">
        <f>+W$29*Y90+X90</f>
        <v>2495608.2504827906</v>
      </c>
      <c r="AA90" s="492">
        <f>+AA89</f>
        <v>10331596.354166666</v>
      </c>
      <c r="AB90" s="476">
        <f>+AB89</f>
        <v>450833.29545454547</v>
      </c>
      <c r="AC90" s="476">
        <f t="shared" si="14"/>
        <v>9880763.0587121211</v>
      </c>
      <c r="AD90" s="493">
        <f>+AA$29*AC90+AB90</f>
        <v>1627311.402276295</v>
      </c>
      <c r="AE90" s="492">
        <f>+AE89</f>
        <v>103452.44318181831</v>
      </c>
      <c r="AF90" s="476">
        <f>+AF89</f>
        <v>4597.886363636364</v>
      </c>
      <c r="AG90" s="476">
        <f t="shared" si="15"/>
        <v>98854.55681818194</v>
      </c>
      <c r="AH90" s="493">
        <f>+AE$29*AG90+AF90</f>
        <v>16368.254822539231</v>
      </c>
      <c r="AI90" s="492">
        <f>+AI89</f>
        <v>7043880.4583333358</v>
      </c>
      <c r="AJ90" s="476">
        <f>+AJ89</f>
        <v>295547.43181818182</v>
      </c>
      <c r="AK90" s="476">
        <f t="shared" si="19"/>
        <v>6748333.0265151542</v>
      </c>
      <c r="AL90" s="493">
        <f>+AI$29*AK90+AJ90</f>
        <v>1099054.8144020585</v>
      </c>
      <c r="AM90" s="492">
        <f>+AM89</f>
        <v>2605372.5185227278</v>
      </c>
      <c r="AN90" s="476">
        <f>+AN89</f>
        <v>110866.91568181818</v>
      </c>
      <c r="AO90" s="476">
        <f t="shared" si="16"/>
        <v>2494505.6028409097</v>
      </c>
      <c r="AP90" s="493">
        <f>+AM$29*AO90+AN90</f>
        <v>407881.55024477257</v>
      </c>
      <c r="AQ90" s="492">
        <f>+AQ89</f>
        <v>21492140.63522727</v>
      </c>
      <c r="AR90" s="476">
        <f>+AR89</f>
        <v>904932.23727272719</v>
      </c>
      <c r="AS90" s="476">
        <f t="shared" si="17"/>
        <v>20587208.397954542</v>
      </c>
      <c r="AT90" s="493">
        <f>+AQ$29*AS90+AR90</f>
        <v>3356200.4052119069</v>
      </c>
      <c r="AU90" s="575"/>
      <c r="AV90" s="575"/>
      <c r="AW90" s="575"/>
      <c r="AX90" s="558"/>
      <c r="AY90" s="575"/>
      <c r="AZ90" s="575"/>
      <c r="BA90" s="575"/>
      <c r="BB90" s="558"/>
      <c r="BC90" s="575"/>
      <c r="BD90" s="575"/>
      <c r="BE90" s="575"/>
      <c r="BF90" s="558"/>
      <c r="BG90" s="575"/>
      <c r="BH90" s="575"/>
      <c r="BI90" s="575"/>
      <c r="BJ90" s="558"/>
      <c r="BK90" s="575"/>
      <c r="BL90" s="575"/>
      <c r="BM90" s="575"/>
      <c r="BN90" s="558"/>
      <c r="BO90" s="575"/>
      <c r="BP90" s="575"/>
      <c r="BQ90" s="575"/>
      <c r="BR90" s="558"/>
      <c r="BS90" s="492">
        <f>+BS89</f>
        <v>199461.27272727294</v>
      </c>
      <c r="BT90" s="476">
        <f>+BT89</f>
        <v>8310.886363636364</v>
      </c>
      <c r="BU90" s="476">
        <f t="shared" si="18"/>
        <v>191150.38636363659</v>
      </c>
      <c r="BV90" s="493">
        <f>+BS$29*BU90+BT90</f>
        <v>31070.691788689135</v>
      </c>
      <c r="BW90" s="492">
        <f>+BW89</f>
        <v>14132610.068181831</v>
      </c>
      <c r="BX90" s="476">
        <f>+BX89</f>
        <v>576841.22727272729</v>
      </c>
      <c r="BY90" s="476">
        <f t="shared" si="20"/>
        <v>13555768.840909105</v>
      </c>
      <c r="BZ90" s="493">
        <f>+BW$29*BY90+BX90</f>
        <v>2102533.1114867735</v>
      </c>
      <c r="CA90" s="492">
        <f>+CA89</f>
        <v>1338167.2000000016</v>
      </c>
      <c r="CB90" s="476">
        <f>+CB89</f>
        <v>54433.919999999998</v>
      </c>
      <c r="CC90" s="476">
        <f t="shared" si="21"/>
        <v>1283733.2800000017</v>
      </c>
      <c r="CD90" s="493">
        <f>+CA$29*CC90+CB90</f>
        <v>207284.87796187733</v>
      </c>
      <c r="CE90" s="492">
        <f>+CE89</f>
        <v>114581.95545454559</v>
      </c>
      <c r="CF90" s="476">
        <f>+CF89</f>
        <v>4725.0290909090909</v>
      </c>
      <c r="CG90" s="476">
        <f t="shared" si="22"/>
        <v>109856.92636363651</v>
      </c>
      <c r="CH90" s="493">
        <f>+CE$29*CG90+CF90</f>
        <v>17805.422576874676</v>
      </c>
      <c r="CI90" s="492">
        <f>+CI89</f>
        <v>311128.636363636</v>
      </c>
      <c r="CJ90" s="476">
        <f>+CJ89</f>
        <v>12362.727272727272</v>
      </c>
      <c r="CK90" s="476">
        <f t="shared" si="23"/>
        <v>298765.90909090871</v>
      </c>
      <c r="CL90" s="493">
        <f>+CI$29*CK90+CJ90</f>
        <v>45988.612173052963</v>
      </c>
      <c r="CM90" s="492">
        <f>+CM89</f>
        <v>14389826.553693186</v>
      </c>
      <c r="CN90" s="476">
        <f>+CN89</f>
        <v>483691.64886363636</v>
      </c>
      <c r="CO90" s="476">
        <f t="shared" si="33"/>
        <v>13906134.904829551</v>
      </c>
      <c r="CP90" s="493">
        <f>+CM$29*CO90+CN90</f>
        <v>2048816.9777240872</v>
      </c>
      <c r="CQ90" s="492">
        <f>+CQ89</f>
        <v>60027644.938465878</v>
      </c>
      <c r="CR90" s="476">
        <f>+CR89</f>
        <v>2017735.9643181816</v>
      </c>
      <c r="CS90" s="476">
        <f t="shared" si="38"/>
        <v>58009908.9741477</v>
      </c>
      <c r="CT90" s="493">
        <f>+CQ$29*CS90+CR90</f>
        <v>8546708.8587775715</v>
      </c>
      <c r="CU90" s="492">
        <f>+CU89</f>
        <v>20285861.175000019</v>
      </c>
      <c r="CV90" s="476">
        <f>+CV89</f>
        <v>676195.37250000006</v>
      </c>
      <c r="CW90" s="476">
        <f t="shared" si="39"/>
        <v>19609665.802500021</v>
      </c>
      <c r="CX90" s="493">
        <f>+CU$29*CW90+CV90</f>
        <v>2883248.9390033931</v>
      </c>
      <c r="CY90" s="492">
        <f>+CY89</f>
        <v>22378.577840909125</v>
      </c>
      <c r="CZ90" s="476">
        <f>+CZ89</f>
        <v>733.72386363636497</v>
      </c>
      <c r="DA90" s="476">
        <f t="shared" si="40"/>
        <v>21644.85397727276</v>
      </c>
      <c r="DB90" s="493">
        <f>+CY$29*DA90+CZ90</f>
        <v>3169.8363730547894</v>
      </c>
      <c r="DC90" s="492">
        <f>+DC89</f>
        <v>1347052.8500000013</v>
      </c>
      <c r="DD90" s="476">
        <f>+DD89</f>
        <v>44530.672727272722</v>
      </c>
      <c r="DE90" s="476">
        <f t="shared" si="41"/>
        <v>1302522.1772727286</v>
      </c>
      <c r="DF90" s="493">
        <f>+DC$29*DE90+DD90</f>
        <v>191128.5926384342</v>
      </c>
      <c r="DG90" s="492">
        <f>+DG89</f>
        <v>751503.96670454484</v>
      </c>
      <c r="DH90" s="476">
        <f>+DH89</f>
        <v>24639.474318181816</v>
      </c>
      <c r="DI90" s="476">
        <f t="shared" si="42"/>
        <v>726864.49238636298</v>
      </c>
      <c r="DJ90" s="493">
        <f>+DG$29*DI90+DH90</f>
        <v>106447.54215794473</v>
      </c>
      <c r="DK90" s="492">
        <f>+DK89</f>
        <v>16581374.067386366</v>
      </c>
      <c r="DL90" s="476">
        <f>+DL89</f>
        <v>549658.80886363634</v>
      </c>
      <c r="DM90" s="476">
        <f t="shared" si="43"/>
        <v>16031715.25852273</v>
      </c>
      <c r="DN90" s="493">
        <f>+DK$29*DM90+DL90</f>
        <v>2354016.6543695256</v>
      </c>
      <c r="DO90" s="492">
        <f>+DO89</f>
        <v>610639.27041666629</v>
      </c>
      <c r="DP90" s="476">
        <f t="shared" si="128"/>
        <v>19592.703863636354</v>
      </c>
      <c r="DQ90" s="476">
        <f t="shared" si="148"/>
        <v>591046.56655302993</v>
      </c>
      <c r="DR90" s="493">
        <f t="shared" si="149"/>
        <v>86114.563329193566</v>
      </c>
      <c r="DS90" s="492">
        <f>+DS89</f>
        <v>261316.21090909006</v>
      </c>
      <c r="DT90" s="476">
        <f t="shared" si="129"/>
        <v>8295.7527272726966</v>
      </c>
      <c r="DU90" s="476">
        <f t="shared" si="58"/>
        <v>253020.45818181738</v>
      </c>
      <c r="DV90" s="493">
        <f t="shared" si="63"/>
        <v>36773.020532484799</v>
      </c>
      <c r="DW90" s="492">
        <f>+DW89</f>
        <v>38180.106534090868</v>
      </c>
      <c r="DX90" s="476">
        <f t="shared" si="130"/>
        <v>1221.7634090909089</v>
      </c>
      <c r="DY90" s="476">
        <f t="shared" si="59"/>
        <v>36958.343124999956</v>
      </c>
      <c r="DZ90" s="493">
        <f t="shared" si="64"/>
        <v>5381.3979397155017</v>
      </c>
      <c r="EA90" s="492">
        <f>+EA89</f>
        <v>-227256.29244318331</v>
      </c>
      <c r="EB90" s="476">
        <f t="shared" si="131"/>
        <v>-7120.3015909091364</v>
      </c>
      <c r="EC90" s="476">
        <f t="shared" si="60"/>
        <v>-220135.99085227418</v>
      </c>
      <c r="ED90" s="493">
        <f t="shared" si="65"/>
        <v>-31896.446611408624</v>
      </c>
      <c r="EE90" s="576">
        <f>+EE89</f>
        <v>6432556.0140909143</v>
      </c>
      <c r="EF90" s="580">
        <f t="shared" si="132"/>
        <v>192495.44181818186</v>
      </c>
      <c r="EG90" s="580">
        <f t="shared" si="69"/>
        <v>6240060.5722727329</v>
      </c>
      <c r="EH90" s="493">
        <f t="shared" si="91"/>
        <v>894809.70254749712</v>
      </c>
      <c r="EI90" s="576">
        <f>+EI89</f>
        <v>260388.1538257575</v>
      </c>
      <c r="EJ90" s="580">
        <f t="shared" si="133"/>
        <v>7696.2015909090906</v>
      </c>
      <c r="EK90" s="580">
        <f t="shared" si="70"/>
        <v>252691.9522348484</v>
      </c>
      <c r="EL90" s="493">
        <f t="shared" si="92"/>
        <v>36136.496291674761</v>
      </c>
      <c r="EM90" s="576">
        <f>+EM89</f>
        <v>8883399.6013636347</v>
      </c>
      <c r="EN90" s="580">
        <f t="shared" si="134"/>
        <v>261276.45886363636</v>
      </c>
      <c r="EO90" s="580">
        <f t="shared" si="71"/>
        <v>8622123.1424999982</v>
      </c>
      <c r="EP90" s="493">
        <f t="shared" si="93"/>
        <v>1231690.12241827</v>
      </c>
      <c r="EQ90" s="576">
        <f>+EQ89</f>
        <v>17270010.203863621</v>
      </c>
      <c r="ER90" s="580">
        <f t="shared" si="135"/>
        <v>500580.00590909086</v>
      </c>
      <c r="ES90" s="580">
        <f t="shared" si="94"/>
        <v>16769430.19795453</v>
      </c>
      <c r="ET90" s="493">
        <f t="shared" si="106"/>
        <v>2387967.1291463841</v>
      </c>
      <c r="EU90" s="576">
        <f>+EU89</f>
        <v>22315140.80318182</v>
      </c>
      <c r="EV90" s="580">
        <f t="shared" si="136"/>
        <v>646815.67545454553</v>
      </c>
      <c r="EW90" s="580">
        <f t="shared" si="95"/>
        <v>21668325.127727274</v>
      </c>
      <c r="EX90" s="493">
        <f t="shared" si="107"/>
        <v>3085569.8457172858</v>
      </c>
      <c r="EY90" s="582">
        <f t="shared" si="103"/>
        <v>38870452.789232686</v>
      </c>
      <c r="EZ90" s="579">
        <f>+EY90</f>
        <v>38870452.789232686</v>
      </c>
      <c r="FA90" s="553"/>
      <c r="FD90" s="492"/>
      <c r="FE90" s="476"/>
      <c r="FF90" s="476"/>
      <c r="FG90" s="493"/>
      <c r="FH90" s="492"/>
      <c r="FI90" s="476"/>
      <c r="FJ90" s="476"/>
      <c r="FK90" s="493"/>
      <c r="FL90" s="492"/>
      <c r="FM90" s="476"/>
      <c r="FN90" s="476"/>
      <c r="FO90" s="493"/>
      <c r="FP90" s="492"/>
      <c r="FQ90" s="476"/>
      <c r="FR90" s="476"/>
      <c r="FS90" s="493"/>
      <c r="FT90" s="492"/>
      <c r="FU90" s="476"/>
      <c r="FV90" s="476"/>
      <c r="FW90" s="493"/>
      <c r="FX90" s="492"/>
      <c r="FY90" s="476"/>
      <c r="FZ90" s="476"/>
      <c r="GA90" s="493"/>
      <c r="GB90" s="492"/>
      <c r="GC90" s="476"/>
      <c r="GD90" s="476"/>
      <c r="GE90" s="493"/>
      <c r="GF90" s="492"/>
      <c r="GG90" s="476"/>
      <c r="GH90" s="476"/>
      <c r="GI90" s="493"/>
      <c r="GJ90" s="492"/>
      <c r="GK90" s="476"/>
      <c r="GL90" s="476"/>
      <c r="GM90" s="493"/>
      <c r="GN90" s="492"/>
      <c r="GO90" s="476"/>
      <c r="GP90" s="476"/>
      <c r="GQ90" s="493"/>
      <c r="GR90" s="492"/>
      <c r="GS90" s="476"/>
      <c r="GT90" s="476"/>
      <c r="GU90" s="493"/>
      <c r="GV90" s="492"/>
      <c r="GW90" s="476"/>
      <c r="GX90" s="476"/>
      <c r="GY90" s="493"/>
      <c r="GZ90" s="492"/>
      <c r="HA90" s="476"/>
      <c r="HB90" s="476"/>
      <c r="HC90" s="493"/>
      <c r="HD90" s="576"/>
      <c r="HE90" s="580"/>
      <c r="HF90" s="580"/>
      <c r="HG90" s="918"/>
      <c r="HH90" s="919"/>
      <c r="HI90" s="925"/>
      <c r="HJ90" s="925"/>
      <c r="HK90" s="918"/>
      <c r="HL90" s="919"/>
      <c r="HM90" s="925"/>
      <c r="HN90" s="925"/>
      <c r="HO90" s="918"/>
      <c r="HP90" s="576">
        <f>+HP89</f>
        <v>55217.163166666825</v>
      </c>
      <c r="HQ90" s="580">
        <f>+HQ89</f>
        <v>55217.163166666665</v>
      </c>
      <c r="HR90" s="676">
        <f t="shared" si="105"/>
        <v>1.6007106751203537E-10</v>
      </c>
      <c r="HS90" s="918">
        <f t="shared" si="108"/>
        <v>55217.163166666687</v>
      </c>
      <c r="HT90" s="576">
        <f>+HT89</f>
        <v>65032.5</v>
      </c>
      <c r="HU90" s="580">
        <f t="shared" si="143"/>
        <v>39019.5</v>
      </c>
      <c r="HV90" s="580">
        <f t="shared" si="122"/>
        <v>26013</v>
      </c>
      <c r="HW90" s="918">
        <f t="shared" si="123"/>
        <v>42456.70452890583</v>
      </c>
      <c r="HY90" s="492"/>
      <c r="HZ90" s="476"/>
      <c r="IA90" s="476"/>
      <c r="IB90" s="493"/>
      <c r="IC90" s="492"/>
      <c r="ID90" s="476"/>
      <c r="IE90" s="476"/>
      <c r="IF90" s="493"/>
      <c r="IG90" s="492"/>
      <c r="IH90" s="476"/>
      <c r="II90" s="476"/>
      <c r="IJ90" s="493"/>
    </row>
    <row r="91" spans="1:244">
      <c r="A91" s="554" t="s">
        <v>24</v>
      </c>
      <c r="B91" s="574">
        <v>2032</v>
      </c>
      <c r="C91" s="575">
        <f>+E90</f>
        <v>9250183.6698863581</v>
      </c>
      <c r="D91" s="575">
        <f>+C$31</f>
        <v>445791.98409090913</v>
      </c>
      <c r="E91" s="575">
        <f t="shared" si="6"/>
        <v>8804391.6857954487</v>
      </c>
      <c r="F91" s="558">
        <f>+C$28*E91+D91</f>
        <v>1436719.8390954714</v>
      </c>
      <c r="G91" s="575">
        <f>+I90</f>
        <v>2374735.3656818159</v>
      </c>
      <c r="H91" s="575">
        <f>+G$31</f>
        <v>115840.74954545456</v>
      </c>
      <c r="I91" s="575">
        <f t="shared" si="7"/>
        <v>2258894.6161363614</v>
      </c>
      <c r="J91" s="558">
        <f>+G$28*I91+H91</f>
        <v>370077.68907878769</v>
      </c>
      <c r="K91" s="576">
        <f>+M90</f>
        <v>6032040.282443177</v>
      </c>
      <c r="L91" s="575">
        <f>+K$31</f>
        <v>305419.76113636367</v>
      </c>
      <c r="M91" s="575">
        <f t="shared" si="8"/>
        <v>5726620.5213068137</v>
      </c>
      <c r="N91" s="558">
        <f>+K$28*M91+L91</f>
        <v>949946.71905883844</v>
      </c>
      <c r="O91" s="576">
        <f>+Q90</f>
        <v>2605072.9469696935</v>
      </c>
      <c r="P91" s="575">
        <f>+O$31</f>
        <v>119316.31818181818</v>
      </c>
      <c r="Q91" s="575">
        <f t="shared" si="11"/>
        <v>2485756.6287878752</v>
      </c>
      <c r="R91" s="558">
        <f>+O$28*Q91+P91</f>
        <v>399086.41157761175</v>
      </c>
      <c r="S91" s="492">
        <f>+U90</f>
        <v>1176033.3933333303</v>
      </c>
      <c r="T91" s="476">
        <f>+S$31</f>
        <v>58315.705454545445</v>
      </c>
      <c r="U91" s="476">
        <f t="shared" si="12"/>
        <v>1117717.6878787847</v>
      </c>
      <c r="V91" s="493">
        <f>+S$28*U91+T91</f>
        <v>184114.0150342171</v>
      </c>
      <c r="W91" s="492">
        <f>+Y90</f>
        <v>15136910.564393945</v>
      </c>
      <c r="X91" s="476">
        <f>+W$31</f>
        <v>693293.61363636365</v>
      </c>
      <c r="Y91" s="476">
        <f t="shared" si="13"/>
        <v>14443616.950757582</v>
      </c>
      <c r="Z91" s="493">
        <f>+W$28*Y91+X91</f>
        <v>2318912.1542804525</v>
      </c>
      <c r="AA91" s="492">
        <f>+AC90</f>
        <v>9880763.0587121211</v>
      </c>
      <c r="AB91" s="476">
        <f>+AA$31</f>
        <v>450833.29545454547</v>
      </c>
      <c r="AC91" s="476">
        <f t="shared" si="14"/>
        <v>9429929.7632575762</v>
      </c>
      <c r="AD91" s="493">
        <f>+AA$28*AC91+AB91</f>
        <v>1512165.0042907447</v>
      </c>
      <c r="AE91" s="492">
        <f>+AG90</f>
        <v>98854.55681818194</v>
      </c>
      <c r="AF91" s="476">
        <f>+AE$31</f>
        <v>4597.886363636364</v>
      </c>
      <c r="AG91" s="476">
        <f t="shared" si="15"/>
        <v>94256.670454545572</v>
      </c>
      <c r="AH91" s="493">
        <f>+AE$28*AG91+AF91</f>
        <v>15206.405794238708</v>
      </c>
      <c r="AI91" s="492">
        <f>+AK90</f>
        <v>6748333.0265151542</v>
      </c>
      <c r="AJ91" s="476">
        <f>+AI$31</f>
        <v>295547.43181818182</v>
      </c>
      <c r="AK91" s="476">
        <f t="shared" si="19"/>
        <v>6452785.5946969725</v>
      </c>
      <c r="AL91" s="493">
        <f>+AI$28*AK91+AJ91</f>
        <v>1021803.7384831335</v>
      </c>
      <c r="AM91" s="492">
        <f>+AO90</f>
        <v>2494505.6028409097</v>
      </c>
      <c r="AN91" s="476">
        <f>+AM$31</f>
        <v>110866.91568181818</v>
      </c>
      <c r="AO91" s="476">
        <f t="shared" si="16"/>
        <v>2383638.6871590917</v>
      </c>
      <c r="AP91" s="493">
        <f>+AM$28*AO91+AN91</f>
        <v>379143.70931688568</v>
      </c>
      <c r="AQ91" s="492">
        <f>+AS90</f>
        <v>20587208.397954542</v>
      </c>
      <c r="AR91" s="476">
        <f>+AQ$31</f>
        <v>904932.23727272719</v>
      </c>
      <c r="AS91" s="476">
        <f t="shared" si="17"/>
        <v>19682276.160681814</v>
      </c>
      <c r="AT91" s="493">
        <f>+AQ$28*AS91+AR91</f>
        <v>3120158.0465672128</v>
      </c>
      <c r="AU91" s="575"/>
      <c r="AV91" s="575"/>
      <c r="AW91" s="575"/>
      <c r="AX91" s="558"/>
      <c r="AY91" s="575"/>
      <c r="AZ91" s="575"/>
      <c r="BA91" s="575"/>
      <c r="BB91" s="558"/>
      <c r="BC91" s="575"/>
      <c r="BD91" s="575"/>
      <c r="BE91" s="575"/>
      <c r="BF91" s="558"/>
      <c r="BG91" s="575"/>
      <c r="BH91" s="575"/>
      <c r="BI91" s="575"/>
      <c r="BJ91" s="558"/>
      <c r="BK91" s="575"/>
      <c r="BL91" s="575"/>
      <c r="BM91" s="575"/>
      <c r="BN91" s="558"/>
      <c r="BO91" s="575"/>
      <c r="BP91" s="575"/>
      <c r="BQ91" s="575"/>
      <c r="BR91" s="558"/>
      <c r="BS91" s="492">
        <f>+BU90</f>
        <v>191150.38636363659</v>
      </c>
      <c r="BT91" s="476">
        <f>+BS$31</f>
        <v>8310.886363636364</v>
      </c>
      <c r="BU91" s="476">
        <f t="shared" si="18"/>
        <v>182839.50000000023</v>
      </c>
      <c r="BV91" s="493">
        <f>+BS$28*BU91+BT91</f>
        <v>28889.338573732217</v>
      </c>
      <c r="BW91" s="492">
        <f>+BY90</f>
        <v>13555768.840909105</v>
      </c>
      <c r="BX91" s="476">
        <f>+BW$31</f>
        <v>576841.22727272729</v>
      </c>
      <c r="BY91" s="476">
        <f t="shared" si="20"/>
        <v>12978927.613636378</v>
      </c>
      <c r="BZ91" s="493">
        <f>+BW$28*BY91+BX91</f>
        <v>2037610.0525840481</v>
      </c>
      <c r="CA91" s="492">
        <f>+CC90</f>
        <v>1283733.2800000017</v>
      </c>
      <c r="CB91" s="476">
        <f>+CA$31</f>
        <v>54433.919999999998</v>
      </c>
      <c r="CC91" s="476">
        <f t="shared" si="21"/>
        <v>1229299.3600000017</v>
      </c>
      <c r="CD91" s="493">
        <f>+CA$28*CC91+CB91</f>
        <v>192790.66529662034</v>
      </c>
      <c r="CE91" s="492">
        <f>+CG90</f>
        <v>109856.92636363651</v>
      </c>
      <c r="CF91" s="476">
        <f>+CE$31</f>
        <v>4725.0290909090909</v>
      </c>
      <c r="CG91" s="476">
        <f t="shared" si="22"/>
        <v>105131.89727272742</v>
      </c>
      <c r="CH91" s="493">
        <f>+CE$28*CG91+CF91</f>
        <v>16557.547358479966</v>
      </c>
      <c r="CI91" s="492">
        <f>+CK90</f>
        <v>298765.90909090871</v>
      </c>
      <c r="CJ91" s="476">
        <f>+CI$31</f>
        <v>12362.727272727272</v>
      </c>
      <c r="CK91" s="476">
        <f t="shared" si="23"/>
        <v>286403.18181818142</v>
      </c>
      <c r="CL91" s="493">
        <f>+CI$28*CK91+CJ91</f>
        <v>44597.196246142928</v>
      </c>
      <c r="CM91" s="492">
        <f>+CO90</f>
        <v>13906134.904829551</v>
      </c>
      <c r="CN91" s="476">
        <f>+CM$31</f>
        <v>483691.64886363636</v>
      </c>
      <c r="CO91" s="476">
        <f t="shared" si="33"/>
        <v>13422443.255965915</v>
      </c>
      <c r="CP91" s="493">
        <f>+CM$28*CO91+CN91</f>
        <v>1994377.8358506802</v>
      </c>
      <c r="CQ91" s="492">
        <f>+CS90</f>
        <v>58009908.9741477</v>
      </c>
      <c r="CR91" s="476">
        <f>+CQ$31</f>
        <v>2017735.9643181816</v>
      </c>
      <c r="CS91" s="476">
        <f t="shared" si="38"/>
        <v>55992173.009829521</v>
      </c>
      <c r="CT91" s="493">
        <f>+CQ$28*CS91+CR91</f>
        <v>8319614.1494050696</v>
      </c>
      <c r="CU91" s="492">
        <f>+CW90</f>
        <v>19609665.802500021</v>
      </c>
      <c r="CV91" s="476">
        <f>+CU$31</f>
        <v>676195.37250000006</v>
      </c>
      <c r="CW91" s="476">
        <f t="shared" si="39"/>
        <v>18933470.430000022</v>
      </c>
      <c r="CX91" s="493">
        <f>+CU$28*CW91+CV91</f>
        <v>2807143.6436067242</v>
      </c>
      <c r="CY91" s="492">
        <f>+DA90</f>
        <v>21644.85397727276</v>
      </c>
      <c r="CZ91" s="476">
        <f>+CY$31</f>
        <v>733.72386363636497</v>
      </c>
      <c r="DA91" s="476">
        <f t="shared" si="40"/>
        <v>20911.130113636395</v>
      </c>
      <c r="DB91" s="493">
        <f>+CY$28*DA91+CZ91</f>
        <v>3087.2562879897582</v>
      </c>
      <c r="DC91" s="492">
        <f>+DE90</f>
        <v>1302522.1772727286</v>
      </c>
      <c r="DD91" s="476">
        <f>+DC$31</f>
        <v>44530.672727272722</v>
      </c>
      <c r="DE91" s="476">
        <f t="shared" si="41"/>
        <v>1257991.504545456</v>
      </c>
      <c r="DF91" s="493">
        <f>+DC$28*DE91+DD91</f>
        <v>186116.69794061675</v>
      </c>
      <c r="DG91" s="492">
        <f>+DI90</f>
        <v>726864.49238636298</v>
      </c>
      <c r="DH91" s="476">
        <f>+DG$31</f>
        <v>24639.474318181816</v>
      </c>
      <c r="DI91" s="476">
        <f t="shared" si="42"/>
        <v>702225.01806818112</v>
      </c>
      <c r="DJ91" s="493">
        <f>+DG$28*DI91+DH91</f>
        <v>103674.38731591887</v>
      </c>
      <c r="DK91" s="492">
        <f>+DM90</f>
        <v>16031715.25852273</v>
      </c>
      <c r="DL91" s="476">
        <f>+DK$31</f>
        <v>549658.80886363634</v>
      </c>
      <c r="DM91" s="476">
        <f t="shared" si="43"/>
        <v>15482056.449659094</v>
      </c>
      <c r="DN91" s="493">
        <f>+DK$28*DM91+DL91</f>
        <v>2292152.9568093237</v>
      </c>
      <c r="DO91" s="492">
        <f>+DQ90</f>
        <v>591046.56655302993</v>
      </c>
      <c r="DP91" s="476">
        <f>+DO$31</f>
        <v>19592.703863636354</v>
      </c>
      <c r="DQ91" s="476">
        <f t="shared" si="148"/>
        <v>571453.86268939357</v>
      </c>
      <c r="DR91" s="493">
        <f>+DO$28*DQ91+DP91</f>
        <v>83909.418816523161</v>
      </c>
      <c r="DS91" s="492">
        <f>+DU90</f>
        <v>253020.45818181738</v>
      </c>
      <c r="DT91" s="476">
        <f>+DS$31</f>
        <v>8295.7527272726966</v>
      </c>
      <c r="DU91" s="476">
        <f t="shared" si="58"/>
        <v>244724.70545454469</v>
      </c>
      <c r="DV91" s="493">
        <f>+DS$28*DU91+DT91</f>
        <v>35839.339620838502</v>
      </c>
      <c r="DW91" s="492">
        <f>+DY90</f>
        <v>36958.343124999956</v>
      </c>
      <c r="DX91" s="476">
        <f>+DW$31</f>
        <v>1221.7634090909089</v>
      </c>
      <c r="DY91" s="476">
        <f t="shared" si="59"/>
        <v>35736.579715909043</v>
      </c>
      <c r="DZ91" s="493">
        <f>+DW$28*DY91+DX91</f>
        <v>5243.8893601907212</v>
      </c>
      <c r="EA91" s="492">
        <f>+EC90</f>
        <v>-220135.99085227418</v>
      </c>
      <c r="EB91" s="476">
        <f>+EA$31</f>
        <v>-7120.3015909091364</v>
      </c>
      <c r="EC91" s="476">
        <f t="shared" si="60"/>
        <v>-213015.68926136504</v>
      </c>
      <c r="ED91" s="493">
        <f>+EA$28*EC91+EB91</f>
        <v>-31095.061866810258</v>
      </c>
      <c r="EE91" s="576">
        <f>+EG90</f>
        <v>6240060.5722727329</v>
      </c>
      <c r="EF91" s="580">
        <f>+EE$31</f>
        <v>192495.44181818186</v>
      </c>
      <c r="EG91" s="580">
        <f t="shared" si="69"/>
        <v>6047565.1304545514</v>
      </c>
      <c r="EH91" s="493">
        <f>+EE$28*EG91+EF91</f>
        <v>873144.48113682424</v>
      </c>
      <c r="EI91" s="576">
        <f>+EK90</f>
        <v>252691.9522348484</v>
      </c>
      <c r="EJ91" s="580">
        <f>+EI$31</f>
        <v>7696.2015909090906</v>
      </c>
      <c r="EK91" s="580">
        <f t="shared" si="70"/>
        <v>244995.7506439393</v>
      </c>
      <c r="EL91" s="493">
        <f>+EI$28*EK91+EJ91</f>
        <v>35270.294422615909</v>
      </c>
      <c r="EM91" s="576">
        <f>+EO90</f>
        <v>8622123.1424999982</v>
      </c>
      <c r="EN91" s="580">
        <f>+EM$31</f>
        <v>261276.45886363636</v>
      </c>
      <c r="EO91" s="580">
        <f t="shared" si="71"/>
        <v>8360846.6836363617</v>
      </c>
      <c r="EP91" s="493">
        <f>+EM$28*EO91+EN91</f>
        <v>1202283.6477650993</v>
      </c>
      <c r="EQ91" s="576">
        <f>+ES90</f>
        <v>16769430.19795453</v>
      </c>
      <c r="ER91" s="580">
        <f>+EQ$31</f>
        <v>500580.00590909086</v>
      </c>
      <c r="ES91" s="580">
        <f t="shared" si="94"/>
        <v>16268850.192045439</v>
      </c>
      <c r="ET91" s="493">
        <f>+EQ$28*ES91+ER91</f>
        <v>2331627.2150198976</v>
      </c>
      <c r="EU91" s="576">
        <f>+EW90</f>
        <v>21668325.127727274</v>
      </c>
      <c r="EV91" s="580">
        <f>+EU$31</f>
        <v>646815.67545454553</v>
      </c>
      <c r="EW91" s="580">
        <f t="shared" si="95"/>
        <v>21021509.452272728</v>
      </c>
      <c r="EX91" s="493">
        <f>+EU$28*EW91+EV91</f>
        <v>3012771.2137691434</v>
      </c>
      <c r="EY91" s="582">
        <f t="shared" si="103"/>
        <v>37282939.897897266</v>
      </c>
      <c r="EZ91" s="557"/>
      <c r="FA91" s="578">
        <f>+EY91</f>
        <v>37282939.897897266</v>
      </c>
      <c r="FD91" s="492"/>
      <c r="FE91" s="476"/>
      <c r="FF91" s="476"/>
      <c r="FG91" s="493"/>
      <c r="FH91" s="492"/>
      <c r="FI91" s="476"/>
      <c r="FJ91" s="476"/>
      <c r="FK91" s="493"/>
      <c r="FL91" s="492"/>
      <c r="FM91" s="476"/>
      <c r="FN91" s="476"/>
      <c r="FO91" s="493"/>
      <c r="FP91" s="492"/>
      <c r="FQ91" s="476"/>
      <c r="FR91" s="476"/>
      <c r="FS91" s="493"/>
      <c r="FT91" s="492"/>
      <c r="FU91" s="476"/>
      <c r="FV91" s="476"/>
      <c r="FW91" s="493"/>
      <c r="FX91" s="492"/>
      <c r="FY91" s="476"/>
      <c r="FZ91" s="476"/>
      <c r="GA91" s="493"/>
      <c r="GB91" s="492"/>
      <c r="GC91" s="476"/>
      <c r="GD91" s="476"/>
      <c r="GE91" s="493"/>
      <c r="GF91" s="492"/>
      <c r="GG91" s="476"/>
      <c r="GH91" s="476"/>
      <c r="GI91" s="493"/>
      <c r="GJ91" s="492"/>
      <c r="GK91" s="476"/>
      <c r="GL91" s="476"/>
      <c r="GM91" s="493"/>
      <c r="GN91" s="492"/>
      <c r="GO91" s="476"/>
      <c r="GP91" s="476"/>
      <c r="GQ91" s="493"/>
      <c r="GR91" s="492"/>
      <c r="GS91" s="476"/>
      <c r="GT91" s="476"/>
      <c r="GU91" s="493"/>
      <c r="GV91" s="492"/>
      <c r="GW91" s="476"/>
      <c r="GX91" s="476"/>
      <c r="GY91" s="493"/>
      <c r="GZ91" s="492"/>
      <c r="HA91" s="476"/>
      <c r="HB91" s="476"/>
      <c r="HC91" s="493"/>
      <c r="HD91" s="576"/>
      <c r="HE91" s="580"/>
      <c r="HF91" s="580"/>
      <c r="HG91" s="918"/>
      <c r="HH91" s="919"/>
      <c r="HI91" s="925"/>
      <c r="HJ91" s="925"/>
      <c r="HK91" s="918"/>
      <c r="HL91" s="919"/>
      <c r="HM91" s="925"/>
      <c r="HN91" s="925"/>
      <c r="HO91" s="918"/>
      <c r="HP91" s="919"/>
      <c r="HQ91" s="925"/>
      <c r="HR91" s="925"/>
      <c r="HS91" s="918"/>
      <c r="HT91" s="576">
        <f>+HV90</f>
        <v>26013</v>
      </c>
      <c r="HU91" s="580">
        <f>+HT$31/12*(12-4)</f>
        <v>26013</v>
      </c>
      <c r="HV91" s="580">
        <f t="shared" si="122"/>
        <v>0</v>
      </c>
      <c r="HW91" s="918">
        <f t="shared" si="123"/>
        <v>26013</v>
      </c>
      <c r="HY91" s="492"/>
      <c r="HZ91" s="476"/>
      <c r="IA91" s="476"/>
      <c r="IB91" s="493"/>
      <c r="IC91" s="492"/>
      <c r="ID91" s="476"/>
      <c r="IE91" s="476"/>
      <c r="IF91" s="493"/>
      <c r="IG91" s="492"/>
      <c r="IH91" s="476"/>
      <c r="II91" s="476"/>
      <c r="IJ91" s="493"/>
    </row>
    <row r="92" spans="1:244">
      <c r="A92" s="554" t="s">
        <v>23</v>
      </c>
      <c r="B92" s="574">
        <v>2032</v>
      </c>
      <c r="C92" s="575">
        <f>+C91</f>
        <v>9250183.6698863581</v>
      </c>
      <c r="D92" s="575">
        <f>+D91</f>
        <v>445791.98409090913</v>
      </c>
      <c r="E92" s="575">
        <f t="shared" si="6"/>
        <v>8804391.6857954487</v>
      </c>
      <c r="F92" s="558">
        <f>+C$29*E92+D92</f>
        <v>1494109.2041955562</v>
      </c>
      <c r="G92" s="575">
        <f>+G91</f>
        <v>2374735.3656818159</v>
      </c>
      <c r="H92" s="575">
        <f>+H91</f>
        <v>115840.74954545456</v>
      </c>
      <c r="I92" s="575">
        <f t="shared" si="7"/>
        <v>2258894.6161363614</v>
      </c>
      <c r="J92" s="558">
        <f>+G$29*I92+H92</f>
        <v>384801.76457138703</v>
      </c>
      <c r="K92" s="576">
        <f>+K91</f>
        <v>6032040.282443177</v>
      </c>
      <c r="L92" s="575">
        <f>+L91</f>
        <v>305419.76113636367</v>
      </c>
      <c r="M92" s="575">
        <f t="shared" si="8"/>
        <v>5726620.5213068137</v>
      </c>
      <c r="N92" s="558">
        <f>+K$29*M92+L92</f>
        <v>987274.35367749538</v>
      </c>
      <c r="O92" s="576">
        <f>+O91</f>
        <v>2605072.9469696935</v>
      </c>
      <c r="P92" s="575">
        <f>+P91</f>
        <v>119316.31818181818</v>
      </c>
      <c r="Q92" s="575">
        <f t="shared" si="11"/>
        <v>2485756.6287878752</v>
      </c>
      <c r="R92" s="558">
        <f>+O$29*Q92+P92</f>
        <v>415289.23396562721</v>
      </c>
      <c r="S92" s="492">
        <f>+S91</f>
        <v>1176033.3933333303</v>
      </c>
      <c r="T92" s="476">
        <f>+T91</f>
        <v>58315.705454545445</v>
      </c>
      <c r="U92" s="476">
        <f t="shared" si="12"/>
        <v>1117717.6878787847</v>
      </c>
      <c r="V92" s="493">
        <f>+S$29*U92+T92</f>
        <v>191399.59599854273</v>
      </c>
      <c r="W92" s="492">
        <f>+W91</f>
        <v>15136910.564393945</v>
      </c>
      <c r="X92" s="476">
        <f>+X91</f>
        <v>693293.61363636365</v>
      </c>
      <c r="Y92" s="476">
        <f t="shared" si="13"/>
        <v>14443616.950757582</v>
      </c>
      <c r="Z92" s="493">
        <f>+W$29*Y92+X92</f>
        <v>2413059.4884898248</v>
      </c>
      <c r="AA92" s="492">
        <f>+AA91</f>
        <v>9880763.0587121211</v>
      </c>
      <c r="AB92" s="476">
        <f>+AB91</f>
        <v>450833.29545454547</v>
      </c>
      <c r="AC92" s="476">
        <f t="shared" si="14"/>
        <v>9429929.7632575762</v>
      </c>
      <c r="AD92" s="493">
        <f>+AA$29*AC92+AB92</f>
        <v>1573631.7928395611</v>
      </c>
      <c r="AE92" s="492">
        <f>+AE91</f>
        <v>98854.55681818194</v>
      </c>
      <c r="AF92" s="476">
        <f>+AF91</f>
        <v>4597.886363636364</v>
      </c>
      <c r="AG92" s="476">
        <f t="shared" si="15"/>
        <v>94256.670454545572</v>
      </c>
      <c r="AH92" s="493">
        <f>+AE$29*AG92+AF92</f>
        <v>15820.795824450724</v>
      </c>
      <c r="AI92" s="492">
        <f>+AI91</f>
        <v>6748333.0265151542</v>
      </c>
      <c r="AJ92" s="476">
        <f>+AJ91</f>
        <v>295547.43181818182</v>
      </c>
      <c r="AK92" s="476">
        <f t="shared" si="19"/>
        <v>6452785.5946969725</v>
      </c>
      <c r="AL92" s="493">
        <f>+AI$29*AK92+AJ92</f>
        <v>1063864.7100553194</v>
      </c>
      <c r="AM92" s="492">
        <f>+AM91</f>
        <v>2494505.6028409097</v>
      </c>
      <c r="AN92" s="476">
        <f>+AN91</f>
        <v>110866.91568181818</v>
      </c>
      <c r="AO92" s="476">
        <f t="shared" si="16"/>
        <v>2383638.6871590917</v>
      </c>
      <c r="AP92" s="493">
        <f>+AM$29*AO92+AN92</f>
        <v>394680.89981975243</v>
      </c>
      <c r="AQ92" s="492">
        <f>+AQ91</f>
        <v>20587208.397954542</v>
      </c>
      <c r="AR92" s="476">
        <f>+AR91</f>
        <v>904932.23727272719</v>
      </c>
      <c r="AS92" s="476">
        <f t="shared" si="17"/>
        <v>19682276.160681814</v>
      </c>
      <c r="AT92" s="493">
        <f>+AQ$29*AS92+AR92</f>
        <v>3248452.3538739206</v>
      </c>
      <c r="AU92" s="575"/>
      <c r="AV92" s="575"/>
      <c r="AW92" s="575"/>
      <c r="AX92" s="558"/>
      <c r="AY92" s="575"/>
      <c r="AZ92" s="575"/>
      <c r="BA92" s="575"/>
      <c r="BB92" s="558"/>
      <c r="BC92" s="575"/>
      <c r="BD92" s="575"/>
      <c r="BE92" s="575"/>
      <c r="BF92" s="558"/>
      <c r="BG92" s="575"/>
      <c r="BH92" s="575"/>
      <c r="BI92" s="575"/>
      <c r="BJ92" s="558"/>
      <c r="BK92" s="575"/>
      <c r="BL92" s="575"/>
      <c r="BM92" s="575"/>
      <c r="BN92" s="558"/>
      <c r="BO92" s="575"/>
      <c r="BP92" s="575"/>
      <c r="BQ92" s="575"/>
      <c r="BR92" s="558"/>
      <c r="BS92" s="492">
        <f>+BS91</f>
        <v>191150.38636363659</v>
      </c>
      <c r="BT92" s="476">
        <f>+BT91</f>
        <v>8310.886363636364</v>
      </c>
      <c r="BU92" s="476">
        <f t="shared" si="18"/>
        <v>182839.50000000023</v>
      </c>
      <c r="BV92" s="493">
        <f>+BS$29*BU92+BT92</f>
        <v>30081.135031078145</v>
      </c>
      <c r="BW92" s="492">
        <f>+BW91</f>
        <v>13555768.840909105</v>
      </c>
      <c r="BX92" s="476">
        <f>+BX91</f>
        <v>576841.22727272729</v>
      </c>
      <c r="BY92" s="476">
        <f t="shared" si="20"/>
        <v>12978927.613636378</v>
      </c>
      <c r="BZ92" s="493">
        <f>+BW$29*BY92+BX92</f>
        <v>2037610.0525840481</v>
      </c>
      <c r="CA92" s="492">
        <f>+CA91</f>
        <v>1283733.2800000017</v>
      </c>
      <c r="CB92" s="476">
        <f>+CB91</f>
        <v>54433.919999999998</v>
      </c>
      <c r="CC92" s="476">
        <f t="shared" si="21"/>
        <v>1229299.3600000017</v>
      </c>
      <c r="CD92" s="493">
        <f>+CA$29*CC92+CB92</f>
        <v>200803.56525678007</v>
      </c>
      <c r="CE92" s="492">
        <f>+CE91</f>
        <v>109856.92636363651</v>
      </c>
      <c r="CF92" s="476">
        <f>+CF91</f>
        <v>4725.0290909090909</v>
      </c>
      <c r="CG92" s="476">
        <f t="shared" si="22"/>
        <v>105131.89727272742</v>
      </c>
      <c r="CH92" s="493">
        <f>+CE$29*CG92+CF92</f>
        <v>17242.825007585838</v>
      </c>
      <c r="CI92" s="492">
        <f>+CI91</f>
        <v>298765.90909090871</v>
      </c>
      <c r="CJ92" s="476">
        <f>+CJ91</f>
        <v>12362.727272727272</v>
      </c>
      <c r="CK92" s="476">
        <f t="shared" si="23"/>
        <v>286403.18181818142</v>
      </c>
      <c r="CL92" s="493">
        <f>+CI$29*CK92+CJ92</f>
        <v>44597.196246142928</v>
      </c>
      <c r="CM92" s="492">
        <f>+CM91</f>
        <v>13906134.904829551</v>
      </c>
      <c r="CN92" s="476">
        <f>+CN91</f>
        <v>483691.64886363636</v>
      </c>
      <c r="CO92" s="476">
        <f t="shared" si="33"/>
        <v>13422443.255965915</v>
      </c>
      <c r="CP92" s="493">
        <f>+CM$29*CO92+CN92</f>
        <v>1994377.8358506802</v>
      </c>
      <c r="CQ92" s="492">
        <f>+CQ91</f>
        <v>58009908.9741477</v>
      </c>
      <c r="CR92" s="476">
        <f>+CR91</f>
        <v>2017735.9643181816</v>
      </c>
      <c r="CS92" s="476">
        <f t="shared" si="38"/>
        <v>55992173.009829521</v>
      </c>
      <c r="CT92" s="493">
        <f>+CQ$29*CS92+CR92</f>
        <v>8319614.1494050696</v>
      </c>
      <c r="CU92" s="492">
        <f>+CU91</f>
        <v>19609665.802500021</v>
      </c>
      <c r="CV92" s="476">
        <f>+CV91</f>
        <v>676195.37250000006</v>
      </c>
      <c r="CW92" s="476">
        <f t="shared" si="39"/>
        <v>18933470.430000022</v>
      </c>
      <c r="CX92" s="493">
        <f>+CU$29*CW92+CV92</f>
        <v>2807143.6436067242</v>
      </c>
      <c r="CY92" s="492">
        <f>+CY91</f>
        <v>21644.85397727276</v>
      </c>
      <c r="CZ92" s="476">
        <f>+CZ91</f>
        <v>733.72386363636497</v>
      </c>
      <c r="DA92" s="476">
        <f t="shared" si="40"/>
        <v>20911.130113636395</v>
      </c>
      <c r="DB92" s="493">
        <f>+CY$29*DA92+CZ92</f>
        <v>3087.2562879897582</v>
      </c>
      <c r="DC92" s="492">
        <f>+DC91</f>
        <v>1302522.1772727286</v>
      </c>
      <c r="DD92" s="476">
        <f>+DD91</f>
        <v>44530.672727272722</v>
      </c>
      <c r="DE92" s="476">
        <f t="shared" si="41"/>
        <v>1257991.504545456</v>
      </c>
      <c r="DF92" s="493">
        <f>+DC$29*DE92+DD92</f>
        <v>186116.69794061675</v>
      </c>
      <c r="DG92" s="492">
        <f>+DG91</f>
        <v>726864.49238636298</v>
      </c>
      <c r="DH92" s="476">
        <f>+DH91</f>
        <v>24639.474318181816</v>
      </c>
      <c r="DI92" s="476">
        <f t="shared" si="42"/>
        <v>702225.01806818112</v>
      </c>
      <c r="DJ92" s="493">
        <f>+DG$29*DI92+DH92</f>
        <v>103674.38731591887</v>
      </c>
      <c r="DK92" s="492">
        <f>+DK91</f>
        <v>16031715.25852273</v>
      </c>
      <c r="DL92" s="476">
        <f>+DL91</f>
        <v>549658.80886363634</v>
      </c>
      <c r="DM92" s="476">
        <f t="shared" si="43"/>
        <v>15482056.449659094</v>
      </c>
      <c r="DN92" s="493">
        <f>+DK$29*DM92+DL92</f>
        <v>2292152.9568093237</v>
      </c>
      <c r="DO92" s="492">
        <f>+DO91</f>
        <v>591046.56655302993</v>
      </c>
      <c r="DP92" s="476">
        <f>+DP91</f>
        <v>19592.703863636354</v>
      </c>
      <c r="DQ92" s="476">
        <f t="shared" si="148"/>
        <v>571453.86268939357</v>
      </c>
      <c r="DR92" s="493">
        <f>+DO$29*DQ92+DP92</f>
        <v>83909.418816523161</v>
      </c>
      <c r="DS92" s="492">
        <f>+DS91</f>
        <v>253020.45818181738</v>
      </c>
      <c r="DT92" s="476">
        <f>+DT91</f>
        <v>8295.7527272726966</v>
      </c>
      <c r="DU92" s="476">
        <f t="shared" si="58"/>
        <v>244724.70545454469</v>
      </c>
      <c r="DV92" s="493">
        <f>+DS$29*DU92+DT92</f>
        <v>35839.339620838502</v>
      </c>
      <c r="DW92" s="492">
        <f>+DW91</f>
        <v>36958.343124999956</v>
      </c>
      <c r="DX92" s="476">
        <f>+DX91</f>
        <v>1221.7634090909089</v>
      </c>
      <c r="DY92" s="476">
        <f t="shared" si="59"/>
        <v>35736.579715909043</v>
      </c>
      <c r="DZ92" s="493">
        <f>+DW$29*DY92+DX92</f>
        <v>5243.8893601907212</v>
      </c>
      <c r="EA92" s="492">
        <f>+EA91</f>
        <v>-220135.99085227418</v>
      </c>
      <c r="EB92" s="476">
        <f>+EB91</f>
        <v>-7120.3015909091364</v>
      </c>
      <c r="EC92" s="476">
        <f t="shared" si="60"/>
        <v>-213015.68926136504</v>
      </c>
      <c r="ED92" s="493">
        <f>+EA$29*EC92+EB92</f>
        <v>-31095.061866810258</v>
      </c>
      <c r="EE92" s="576">
        <f>+EE91</f>
        <v>6240060.5722727329</v>
      </c>
      <c r="EF92" s="580">
        <f>+EF91</f>
        <v>192495.44181818186</v>
      </c>
      <c r="EG92" s="580">
        <f t="shared" si="69"/>
        <v>6047565.1304545514</v>
      </c>
      <c r="EH92" s="493">
        <f>+EE$29*EG92+EF92</f>
        <v>873144.48113682424</v>
      </c>
      <c r="EI92" s="576">
        <f>+EI91</f>
        <v>252691.9522348484</v>
      </c>
      <c r="EJ92" s="580">
        <f>+EJ91</f>
        <v>7696.2015909090906</v>
      </c>
      <c r="EK92" s="580">
        <f t="shared" si="70"/>
        <v>244995.7506439393</v>
      </c>
      <c r="EL92" s="493">
        <f>+EI$29*EK92+EJ92</f>
        <v>35270.294422615909</v>
      </c>
      <c r="EM92" s="576">
        <f>+EM91</f>
        <v>8622123.1424999982</v>
      </c>
      <c r="EN92" s="580">
        <f>+EN91</f>
        <v>261276.45886363636</v>
      </c>
      <c r="EO92" s="580">
        <f t="shared" si="71"/>
        <v>8360846.6836363617</v>
      </c>
      <c r="EP92" s="493">
        <f>+EM$29*EO92+EN92</f>
        <v>1202283.6477650993</v>
      </c>
      <c r="EQ92" s="576">
        <f>+EQ91</f>
        <v>16769430.19795453</v>
      </c>
      <c r="ER92" s="580">
        <f>+ER91</f>
        <v>500580.00590909086</v>
      </c>
      <c r="ES92" s="580">
        <f t="shared" si="94"/>
        <v>16268850.192045439</v>
      </c>
      <c r="ET92" s="493">
        <f>+EQ$29*ES92+ER92</f>
        <v>2331627.2150198976</v>
      </c>
      <c r="EU92" s="576">
        <f>+EU91</f>
        <v>21668325.127727274</v>
      </c>
      <c r="EV92" s="580">
        <f>+EV91</f>
        <v>646815.67545454553</v>
      </c>
      <c r="EW92" s="580">
        <f t="shared" si="95"/>
        <v>21021509.452272728</v>
      </c>
      <c r="EX92" s="493">
        <f>+EU$29*EW92+EV92</f>
        <v>3012771.2137691434</v>
      </c>
      <c r="EY92" s="582">
        <f t="shared" si="103"/>
        <v>37767880.332697719</v>
      </c>
      <c r="EZ92" s="579">
        <f>+EY92</f>
        <v>37767880.332697719</v>
      </c>
      <c r="FA92" s="553"/>
      <c r="FD92" s="492"/>
      <c r="FE92" s="476"/>
      <c r="FF92" s="476"/>
      <c r="FG92" s="493"/>
      <c r="FH92" s="492"/>
      <c r="FI92" s="476"/>
      <c r="FJ92" s="476"/>
      <c r="FK92" s="493"/>
      <c r="FL92" s="492"/>
      <c r="FM92" s="476"/>
      <c r="FN92" s="476"/>
      <c r="FO92" s="493"/>
      <c r="FP92" s="492"/>
      <c r="FQ92" s="476"/>
      <c r="FR92" s="476"/>
      <c r="FS92" s="493"/>
      <c r="FT92" s="492"/>
      <c r="FU92" s="476"/>
      <c r="FV92" s="476"/>
      <c r="FW92" s="493"/>
      <c r="FX92" s="492"/>
      <c r="FY92" s="476"/>
      <c r="FZ92" s="476"/>
      <c r="GA92" s="493"/>
      <c r="GB92" s="492"/>
      <c r="GC92" s="476"/>
      <c r="GD92" s="476"/>
      <c r="GE92" s="493"/>
      <c r="GF92" s="492"/>
      <c r="GG92" s="476"/>
      <c r="GH92" s="476"/>
      <c r="GI92" s="493"/>
      <c r="GJ92" s="492"/>
      <c r="GK92" s="476"/>
      <c r="GL92" s="476"/>
      <c r="GM92" s="493"/>
      <c r="GN92" s="492"/>
      <c r="GO92" s="476"/>
      <c r="GP92" s="476"/>
      <c r="GQ92" s="493"/>
      <c r="GR92" s="492"/>
      <c r="GS92" s="476"/>
      <c r="GT92" s="476"/>
      <c r="GU92" s="493"/>
      <c r="GV92" s="492"/>
      <c r="GW92" s="476"/>
      <c r="GX92" s="476"/>
      <c r="GY92" s="493"/>
      <c r="GZ92" s="492"/>
      <c r="HA92" s="476"/>
      <c r="HB92" s="476"/>
      <c r="HC92" s="493"/>
      <c r="HD92" s="576"/>
      <c r="HE92" s="580"/>
      <c r="HF92" s="580"/>
      <c r="HG92" s="918"/>
      <c r="HH92" s="919"/>
      <c r="HI92" s="925"/>
      <c r="HJ92" s="925"/>
      <c r="HK92" s="918"/>
      <c r="HL92" s="919"/>
      <c r="HM92" s="925"/>
      <c r="HN92" s="925"/>
      <c r="HO92" s="918"/>
      <c r="HP92" s="919"/>
      <c r="HQ92" s="925"/>
      <c r="HR92" s="925"/>
      <c r="HS92" s="918"/>
      <c r="HT92" s="576">
        <f>+HT91</f>
        <v>26013</v>
      </c>
      <c r="HU92" s="580">
        <f>+HU91</f>
        <v>26013</v>
      </c>
      <c r="HV92" s="580">
        <f t="shared" si="122"/>
        <v>0</v>
      </c>
      <c r="HW92" s="918">
        <f t="shared" si="123"/>
        <v>26013</v>
      </c>
      <c r="HY92" s="492"/>
      <c r="HZ92" s="476"/>
      <c r="IA92" s="476"/>
      <c r="IB92" s="493"/>
      <c r="IC92" s="492"/>
      <c r="ID92" s="476"/>
      <c r="IE92" s="476"/>
      <c r="IF92" s="493"/>
      <c r="IG92" s="492"/>
      <c r="IH92" s="476"/>
      <c r="II92" s="476"/>
      <c r="IJ92" s="493"/>
    </row>
    <row r="93" spans="1:244">
      <c r="A93" s="554" t="s">
        <v>24</v>
      </c>
      <c r="B93" s="574">
        <v>2033</v>
      </c>
      <c r="C93" s="575">
        <f>+E92</f>
        <v>8804391.6857954487</v>
      </c>
      <c r="D93" s="575">
        <f>+C$31</f>
        <v>445791.98409090913</v>
      </c>
      <c r="E93" s="575">
        <f t="shared" si="6"/>
        <v>8358599.7017045394</v>
      </c>
      <c r="F93" s="558">
        <f>+C$28*E93+D93</f>
        <v>1386546.2768167593</v>
      </c>
      <c r="G93" s="575">
        <f>+I92</f>
        <v>2258894.6161363614</v>
      </c>
      <c r="H93" s="575">
        <f>+G$31</f>
        <v>115840.74954545456</v>
      </c>
      <c r="I93" s="575">
        <f t="shared" si="7"/>
        <v>2143053.8665909069</v>
      </c>
      <c r="J93" s="558">
        <f>+G$28*I93+H93</f>
        <v>357039.89730784757</v>
      </c>
      <c r="K93" s="576">
        <f>+M92</f>
        <v>5726620.5213068137</v>
      </c>
      <c r="L93" s="575">
        <f>+K$31</f>
        <v>305419.76113636367</v>
      </c>
      <c r="M93" s="575">
        <f t="shared" si="8"/>
        <v>5421200.7601704504</v>
      </c>
      <c r="N93" s="558">
        <f>+K$28*M93+L93</f>
        <v>915571.94796963967</v>
      </c>
      <c r="O93" s="576">
        <f>+Q92</f>
        <v>2485756.6287878752</v>
      </c>
      <c r="P93" s="575">
        <f>+O$31</f>
        <v>119316.31818181818</v>
      </c>
      <c r="Q93" s="575">
        <f t="shared" si="11"/>
        <v>2366440.3106060568</v>
      </c>
      <c r="R93" s="558">
        <f>+O$28*Q93+P93</f>
        <v>385657.44709461363</v>
      </c>
      <c r="S93" s="492">
        <f>+U92</f>
        <v>1117717.6878787847</v>
      </c>
      <c r="T93" s="476">
        <f>+S$31</f>
        <v>58315.705454545445</v>
      </c>
      <c r="U93" s="476">
        <f t="shared" si="12"/>
        <v>1059401.9824242392</v>
      </c>
      <c r="V93" s="493">
        <f>+S$28*U93+T93</f>
        <v>177550.62496919071</v>
      </c>
      <c r="W93" s="492">
        <f>+Y92</f>
        <v>14443616.950757582</v>
      </c>
      <c r="X93" s="476">
        <f>+W$31</f>
        <v>693293.61363636365</v>
      </c>
      <c r="Y93" s="476">
        <f t="shared" si="13"/>
        <v>13750323.337121218</v>
      </c>
      <c r="Z93" s="493">
        <f>+W$28*Y93+X93</f>
        <v>2240882.4643295365</v>
      </c>
      <c r="AA93" s="492">
        <f>+AC92</f>
        <v>9429929.7632575762</v>
      </c>
      <c r="AB93" s="476">
        <f>+AA$31</f>
        <v>450833.29545454547</v>
      </c>
      <c r="AC93" s="476">
        <f t="shared" si="14"/>
        <v>8979096.4678030312</v>
      </c>
      <c r="AD93" s="493">
        <f>+AA$28*AC93+AB93</f>
        <v>1461424.0460993729</v>
      </c>
      <c r="AE93" s="492">
        <f>+AG92</f>
        <v>94256.670454545572</v>
      </c>
      <c r="AF93" s="476">
        <f>+AE$31</f>
        <v>4597.886363636364</v>
      </c>
      <c r="AG93" s="476">
        <f t="shared" si="15"/>
        <v>89658.784090909205</v>
      </c>
      <c r="AH93" s="493">
        <f>+AE$28*AG93+AF93</f>
        <v>14688.917041526398</v>
      </c>
      <c r="AI93" s="492">
        <f>+AK92</f>
        <v>6452785.5946969725</v>
      </c>
      <c r="AJ93" s="476">
        <f>+AI$31</f>
        <v>295547.43181818182</v>
      </c>
      <c r="AK93" s="476">
        <f t="shared" si="19"/>
        <v>6157238.1628787909</v>
      </c>
      <c r="AL93" s="493">
        <f>+AI$28*AK93+AJ93</f>
        <v>988540.09084962425</v>
      </c>
      <c r="AM93" s="492">
        <f>+AO92</f>
        <v>2383638.6871590917</v>
      </c>
      <c r="AN93" s="476">
        <f>+AM$31</f>
        <v>110866.91568181818</v>
      </c>
      <c r="AO93" s="476">
        <f t="shared" si="16"/>
        <v>2272771.7714772737</v>
      </c>
      <c r="AP93" s="493">
        <f>+AM$28*AO93+AN93</f>
        <v>366665.71891525463</v>
      </c>
      <c r="AQ93" s="492">
        <f>+AS92</f>
        <v>19682276.160681814</v>
      </c>
      <c r="AR93" s="476">
        <f>+AQ$31</f>
        <v>904932.23727272719</v>
      </c>
      <c r="AS93" s="476">
        <f t="shared" si="17"/>
        <v>18777343.923409086</v>
      </c>
      <c r="AT93" s="493">
        <f>+AQ$28*AS93+AR93</f>
        <v>3018308.5840709144</v>
      </c>
      <c r="AU93" s="575"/>
      <c r="AV93" s="575"/>
      <c r="AW93" s="575"/>
      <c r="AX93" s="558"/>
      <c r="AY93" s="575"/>
      <c r="AZ93" s="575"/>
      <c r="BA93" s="575"/>
      <c r="BB93" s="558"/>
      <c r="BC93" s="575"/>
      <c r="BD93" s="575"/>
      <c r="BE93" s="575"/>
      <c r="BF93" s="558"/>
      <c r="BG93" s="575"/>
      <c r="BH93" s="575"/>
      <c r="BI93" s="575"/>
      <c r="BJ93" s="558"/>
      <c r="BK93" s="575"/>
      <c r="BL93" s="575"/>
      <c r="BM93" s="575"/>
      <c r="BN93" s="558"/>
      <c r="BO93" s="575"/>
      <c r="BP93" s="575"/>
      <c r="BQ93" s="575"/>
      <c r="BR93" s="558"/>
      <c r="BS93" s="492">
        <f>+BU92</f>
        <v>182839.50000000023</v>
      </c>
      <c r="BT93" s="476">
        <f>+BS$31</f>
        <v>8310.886363636364</v>
      </c>
      <c r="BU93" s="476">
        <f t="shared" si="18"/>
        <v>174528.61363636388</v>
      </c>
      <c r="BV93" s="493">
        <f>+BS$28*BU93+BT93</f>
        <v>27953.954382364223</v>
      </c>
      <c r="BW93" s="492">
        <f>+BY92</f>
        <v>12978927.613636378</v>
      </c>
      <c r="BX93" s="476">
        <f>+BW$31</f>
        <v>576841.22727272729</v>
      </c>
      <c r="BY93" s="476">
        <f t="shared" si="20"/>
        <v>12402086.386363652</v>
      </c>
      <c r="BZ93" s="493">
        <f>+BW$28*BY93+BX93</f>
        <v>1972686.993681323</v>
      </c>
      <c r="CA93" s="492">
        <f>+CC92</f>
        <v>1229299.3600000017</v>
      </c>
      <c r="CB93" s="476">
        <f>+CA$31</f>
        <v>54433.919999999998</v>
      </c>
      <c r="CC93" s="476">
        <f t="shared" si="21"/>
        <v>1174865.4400000018</v>
      </c>
      <c r="CD93" s="493">
        <f>+CA$28*CC93+CB93</f>
        <v>186664.16734990658</v>
      </c>
      <c r="CE93" s="492">
        <f>+CG92</f>
        <v>105131.89727272742</v>
      </c>
      <c r="CF93" s="476">
        <f>+CE$31</f>
        <v>4725.0290909090909</v>
      </c>
      <c r="CG93" s="476">
        <f t="shared" si="22"/>
        <v>100406.86818181834</v>
      </c>
      <c r="CH93" s="493">
        <f>+CE$28*CG93+CF93</f>
        <v>16025.748784656556</v>
      </c>
      <c r="CI93" s="492">
        <f>+CK92</f>
        <v>286403.18181818142</v>
      </c>
      <c r="CJ93" s="476">
        <f>+CI$31</f>
        <v>12362.727272727272</v>
      </c>
      <c r="CK93" s="476">
        <f t="shared" si="23"/>
        <v>274040.45454545412</v>
      </c>
      <c r="CL93" s="493">
        <f>+CI$28*CK93+CJ93</f>
        <v>43205.780319232901</v>
      </c>
      <c r="CM93" s="492">
        <f>+CO92</f>
        <v>13422443.255965915</v>
      </c>
      <c r="CN93" s="476">
        <f>+CM$31</f>
        <v>483691.64886363636</v>
      </c>
      <c r="CO93" s="476">
        <f t="shared" si="33"/>
        <v>12938751.607102279</v>
      </c>
      <c r="CP93" s="493">
        <f>+CM$28*CO93+CN93</f>
        <v>1939938.6939772733</v>
      </c>
      <c r="CQ93" s="492">
        <f>+CS92</f>
        <v>55992173.009829521</v>
      </c>
      <c r="CR93" s="476">
        <f>+CQ$31</f>
        <v>2017735.9643181816</v>
      </c>
      <c r="CS93" s="476">
        <f t="shared" si="38"/>
        <v>53974437.045511343</v>
      </c>
      <c r="CT93" s="493">
        <f>+CQ$28*CS93+CR93</f>
        <v>8092519.4400325697</v>
      </c>
      <c r="CU93" s="492">
        <f>+CW92</f>
        <v>18933470.430000022</v>
      </c>
      <c r="CV93" s="476">
        <f>+CU$31</f>
        <v>676195.37250000006</v>
      </c>
      <c r="CW93" s="476">
        <f t="shared" si="39"/>
        <v>18257275.057500023</v>
      </c>
      <c r="CX93" s="493">
        <f>+CU$28*CW93+CV93</f>
        <v>2731038.3482100558</v>
      </c>
      <c r="CY93" s="492">
        <f>+DA92</f>
        <v>20911.130113636395</v>
      </c>
      <c r="CZ93" s="476">
        <f>+CY$31</f>
        <v>733.72386363636497</v>
      </c>
      <c r="DA93" s="476">
        <f t="shared" si="40"/>
        <v>20177.406250000029</v>
      </c>
      <c r="DB93" s="493">
        <f>+CY$28*DA93+CZ93</f>
        <v>3004.6762029247266</v>
      </c>
      <c r="DC93" s="492">
        <f>+DE92</f>
        <v>1257991.504545456</v>
      </c>
      <c r="DD93" s="476">
        <f>+DC$31</f>
        <v>44530.672727272722</v>
      </c>
      <c r="DE93" s="476">
        <f t="shared" si="41"/>
        <v>1213460.8318181834</v>
      </c>
      <c r="DF93" s="493">
        <f>+DC$28*DE93+DD93</f>
        <v>181104.80324279927</v>
      </c>
      <c r="DG93" s="492">
        <f>+DI92</f>
        <v>702225.01806818112</v>
      </c>
      <c r="DH93" s="476">
        <f>+DG$31</f>
        <v>24639.474318181816</v>
      </c>
      <c r="DI93" s="476">
        <f t="shared" si="42"/>
        <v>677585.54374999925</v>
      </c>
      <c r="DJ93" s="493">
        <f>+DG$28*DI93+DH93</f>
        <v>100901.232473893</v>
      </c>
      <c r="DK93" s="492">
        <f>+DM92</f>
        <v>15482056.449659094</v>
      </c>
      <c r="DL93" s="476">
        <f>+DK$31</f>
        <v>549658.80886363634</v>
      </c>
      <c r="DM93" s="476">
        <f t="shared" si="43"/>
        <v>14932397.640795458</v>
      </c>
      <c r="DN93" s="493">
        <f>+DK$28*DM93+DL93</f>
        <v>2230289.2592491219</v>
      </c>
      <c r="DO93" s="492">
        <f>+DQ92</f>
        <v>571453.86268939357</v>
      </c>
      <c r="DP93" s="476">
        <f>+DO$31</f>
        <v>19592.703863636354</v>
      </c>
      <c r="DQ93" s="476">
        <f t="shared" si="148"/>
        <v>551861.15882575721</v>
      </c>
      <c r="DR93" s="493">
        <f>+DO$28*DQ93+DP93</f>
        <v>81704.274303852755</v>
      </c>
      <c r="DS93" s="492">
        <f>+DU92</f>
        <v>244724.70545454469</v>
      </c>
      <c r="DT93" s="476">
        <f>+DS$31</f>
        <v>8295.7527272726966</v>
      </c>
      <c r="DU93" s="476">
        <f t="shared" si="58"/>
        <v>236428.952727272</v>
      </c>
      <c r="DV93" s="493">
        <f>+DS$28*DU93+DT93</f>
        <v>34905.658709192205</v>
      </c>
      <c r="DW93" s="492">
        <f>+DY92</f>
        <v>35736.579715909043</v>
      </c>
      <c r="DX93" s="476">
        <f>+DW$31</f>
        <v>1221.7634090909089</v>
      </c>
      <c r="DY93" s="476">
        <f t="shared" si="59"/>
        <v>34514.816306818131</v>
      </c>
      <c r="DZ93" s="493">
        <f>+DW$28*DY93+DX93</f>
        <v>5106.3807806659406</v>
      </c>
      <c r="EA93" s="492">
        <f>+EC92</f>
        <v>-213015.68926136504</v>
      </c>
      <c r="EB93" s="476">
        <f>+EA$31</f>
        <v>-7120.3015909091364</v>
      </c>
      <c r="EC93" s="476">
        <f t="shared" si="60"/>
        <v>-205895.38767045591</v>
      </c>
      <c r="ED93" s="493">
        <f>+EA$28*EC93+EB93</f>
        <v>-30293.677122211891</v>
      </c>
      <c r="EE93" s="576">
        <f>+EG92</f>
        <v>6047565.1304545514</v>
      </c>
      <c r="EF93" s="580">
        <f>+EE$31</f>
        <v>192495.44181818186</v>
      </c>
      <c r="EG93" s="580">
        <f t="shared" si="69"/>
        <v>5855069.68863637</v>
      </c>
      <c r="EH93" s="493">
        <f>+EE$28*EG93+EF93</f>
        <v>851479.25972615136</v>
      </c>
      <c r="EI93" s="576">
        <f>+EK92</f>
        <v>244995.7506439393</v>
      </c>
      <c r="EJ93" s="580">
        <f>+EI$31</f>
        <v>7696.2015909090906</v>
      </c>
      <c r="EK93" s="580">
        <f t="shared" si="70"/>
        <v>237299.5490530302</v>
      </c>
      <c r="EL93" s="493">
        <f>+EI$28*EK93+EJ93</f>
        <v>34404.09255355705</v>
      </c>
      <c r="EM93" s="576">
        <f>+EO92</f>
        <v>8360846.6836363617</v>
      </c>
      <c r="EN93" s="580">
        <f>+EM$31</f>
        <v>261276.45886363636</v>
      </c>
      <c r="EO93" s="580">
        <f t="shared" si="71"/>
        <v>8099570.2247727253</v>
      </c>
      <c r="EP93" s="493">
        <f>+EM$28*EO93+EN93</f>
        <v>1172877.1731119286</v>
      </c>
      <c r="EQ93" s="576">
        <f>+ES92</f>
        <v>16268850.192045439</v>
      </c>
      <c r="ER93" s="580">
        <f>+EQ$31</f>
        <v>500580.00590909086</v>
      </c>
      <c r="ES93" s="580">
        <f t="shared" si="94"/>
        <v>15768270.186136348</v>
      </c>
      <c r="ET93" s="493">
        <f>+EQ$28*ES93+ER93</f>
        <v>2275287.300893411</v>
      </c>
      <c r="EU93" s="576">
        <f>+EW92</f>
        <v>21021509.452272728</v>
      </c>
      <c r="EV93" s="580">
        <f>+EU$31</f>
        <v>646815.67545454553</v>
      </c>
      <c r="EW93" s="580">
        <f t="shared" si="95"/>
        <v>20374693.776818182</v>
      </c>
      <c r="EX93" s="493">
        <f>+EU$28*EW93+EV93</f>
        <v>2939972.5818210021</v>
      </c>
      <c r="EY93" s="582">
        <f t="shared" si="103"/>
        <v>36203652.158147939</v>
      </c>
      <c r="EZ93" s="557"/>
      <c r="FA93" s="578">
        <f>+EY93</f>
        <v>36203652.158147939</v>
      </c>
      <c r="FD93" s="492"/>
      <c r="FE93" s="476"/>
      <c r="FF93" s="476"/>
      <c r="FG93" s="493"/>
      <c r="FH93" s="492"/>
      <c r="FI93" s="476"/>
      <c r="FJ93" s="476"/>
      <c r="FK93" s="493"/>
      <c r="FL93" s="492"/>
      <c r="FM93" s="476"/>
      <c r="FN93" s="476"/>
      <c r="FO93" s="493"/>
      <c r="FP93" s="492"/>
      <c r="FQ93" s="476"/>
      <c r="FR93" s="476"/>
      <c r="FS93" s="493"/>
      <c r="FT93" s="492"/>
      <c r="FU93" s="476"/>
      <c r="FV93" s="476"/>
      <c r="FW93" s="493"/>
      <c r="FX93" s="492"/>
      <c r="FY93" s="476"/>
      <c r="FZ93" s="476"/>
      <c r="GA93" s="493"/>
      <c r="GB93" s="492"/>
      <c r="GC93" s="476"/>
      <c r="GD93" s="476"/>
      <c r="GE93" s="493"/>
      <c r="GF93" s="492"/>
      <c r="GG93" s="476"/>
      <c r="GH93" s="476"/>
      <c r="GI93" s="493"/>
      <c r="GJ93" s="492"/>
      <c r="GK93" s="476"/>
      <c r="GL93" s="476"/>
      <c r="GM93" s="493"/>
      <c r="GN93" s="492"/>
      <c r="GO93" s="476"/>
      <c r="GP93" s="476"/>
      <c r="GQ93" s="493"/>
      <c r="GR93" s="492"/>
      <c r="GS93" s="476"/>
      <c r="GT93" s="476"/>
      <c r="GU93" s="493"/>
      <c r="GV93" s="492"/>
      <c r="GW93" s="476"/>
      <c r="GX93" s="476"/>
      <c r="GY93" s="493"/>
      <c r="GZ93" s="492"/>
      <c r="HA93" s="476"/>
      <c r="HB93" s="476"/>
      <c r="HC93" s="493"/>
      <c r="HD93" s="576"/>
      <c r="HE93" s="580"/>
      <c r="HF93" s="580"/>
      <c r="HG93" s="918"/>
      <c r="HH93" s="919"/>
      <c r="HI93" s="925"/>
      <c r="HJ93" s="925"/>
      <c r="HK93" s="918"/>
      <c r="HL93" s="919"/>
      <c r="HM93" s="925"/>
      <c r="HN93" s="925"/>
      <c r="HO93" s="918"/>
      <c r="HP93" s="919"/>
      <c r="HQ93" s="925"/>
      <c r="HR93" s="925"/>
      <c r="HS93" s="918"/>
      <c r="HT93" s="919"/>
      <c r="HU93" s="925"/>
      <c r="HV93" s="925"/>
      <c r="HW93" s="918"/>
      <c r="HY93" s="492"/>
      <c r="HZ93" s="476"/>
      <c r="IA93" s="476"/>
      <c r="IB93" s="493"/>
      <c r="IC93" s="492"/>
      <c r="ID93" s="476"/>
      <c r="IE93" s="476"/>
      <c r="IF93" s="493"/>
      <c r="IG93" s="492"/>
      <c r="IH93" s="476"/>
      <c r="II93" s="476"/>
      <c r="IJ93" s="493"/>
    </row>
    <row r="94" spans="1:244">
      <c r="A94" s="554" t="s">
        <v>23</v>
      </c>
      <c r="B94" s="574">
        <v>2033</v>
      </c>
      <c r="C94" s="575">
        <f>+C93</f>
        <v>8804391.6857954487</v>
      </c>
      <c r="D94" s="575">
        <f>+D93</f>
        <v>445791.98409090913</v>
      </c>
      <c r="E94" s="575">
        <f t="shared" si="6"/>
        <v>8358599.7017045394</v>
      </c>
      <c r="F94" s="558">
        <f>+C$29*E94+D94</f>
        <v>1441029.8512788652</v>
      </c>
      <c r="G94" s="575">
        <f>+G93</f>
        <v>2258894.6161363614</v>
      </c>
      <c r="H94" s="575">
        <f>+H93</f>
        <v>115840.74954545456</v>
      </c>
      <c r="I94" s="575">
        <f t="shared" si="7"/>
        <v>2143053.8665909069</v>
      </c>
      <c r="J94" s="558">
        <f>+G$29*I94+H94</f>
        <v>371008.89200595458</v>
      </c>
      <c r="K94" s="576">
        <f>+K93</f>
        <v>5726620.5213068137</v>
      </c>
      <c r="L94" s="575">
        <f>+L93</f>
        <v>305419.76113636367</v>
      </c>
      <c r="M94" s="575">
        <f t="shared" si="8"/>
        <v>5421200.7601704504</v>
      </c>
      <c r="N94" s="558">
        <f>+K$29*M94+L94</f>
        <v>950908.77540863515</v>
      </c>
      <c r="O94" s="576">
        <f>+O93</f>
        <v>2485756.6287878752</v>
      </c>
      <c r="P94" s="575">
        <f>+P93</f>
        <v>119316.31818181818</v>
      </c>
      <c r="Q94" s="575">
        <f t="shared" si="11"/>
        <v>2366440.3106060568</v>
      </c>
      <c r="R94" s="558">
        <f>+O$29*Q94+P94</f>
        <v>401082.5340080043</v>
      </c>
      <c r="S94" s="492">
        <f>+S93</f>
        <v>1117717.6878787847</v>
      </c>
      <c r="T94" s="476">
        <f>+T93</f>
        <v>58315.705454545445</v>
      </c>
      <c r="U94" s="476">
        <f t="shared" si="12"/>
        <v>1059401.9824242392</v>
      </c>
      <c r="V94" s="493">
        <f>+S$29*U94+T94</f>
        <v>184456.08866581239</v>
      </c>
      <c r="W94" s="492">
        <f>+W93</f>
        <v>14443616.950757582</v>
      </c>
      <c r="X94" s="476">
        <f>+X93</f>
        <v>693293.61363636365</v>
      </c>
      <c r="Y94" s="476">
        <f t="shared" si="13"/>
        <v>13750323.337121218</v>
      </c>
      <c r="Z94" s="493">
        <f>+W$29*Y94+X94</f>
        <v>2330510.7264968585</v>
      </c>
      <c r="AA94" s="492">
        <f>+AA93</f>
        <v>9429929.7632575762</v>
      </c>
      <c r="AB94" s="476">
        <f>+AB93</f>
        <v>450833.29545454547</v>
      </c>
      <c r="AC94" s="476">
        <f t="shared" si="14"/>
        <v>8979096.4678030312</v>
      </c>
      <c r="AD94" s="493">
        <f>+AA$29*AC94+AB94</f>
        <v>1519952.1834028275</v>
      </c>
      <c r="AE94" s="492">
        <f>+AE93</f>
        <v>94256.670454545572</v>
      </c>
      <c r="AF94" s="476">
        <f>+AF93</f>
        <v>4597.886363636364</v>
      </c>
      <c r="AG94" s="476">
        <f t="shared" si="15"/>
        <v>89658.784090909205</v>
      </c>
      <c r="AH94" s="493">
        <f>+AE$29*AG94+AF94</f>
        <v>15273.33682636222</v>
      </c>
      <c r="AI94" s="492">
        <f>+AI93</f>
        <v>6452785.5946969725</v>
      </c>
      <c r="AJ94" s="476">
        <f>+AJ93</f>
        <v>295547.43181818182</v>
      </c>
      <c r="AK94" s="476">
        <f t="shared" si="19"/>
        <v>6157238.1628787909</v>
      </c>
      <c r="AL94" s="493">
        <f>+AI$29*AK94+AJ94</f>
        <v>1028674.6057085802</v>
      </c>
      <c r="AM94" s="492">
        <f>+AM93</f>
        <v>2383638.6871590917</v>
      </c>
      <c r="AN94" s="476">
        <f>+AN93</f>
        <v>110866.91568181818</v>
      </c>
      <c r="AO94" s="476">
        <f t="shared" si="16"/>
        <v>2272771.7714772737</v>
      </c>
      <c r="AP94" s="493">
        <f>+AM$29*AO94+AN94</f>
        <v>381480.24939473229</v>
      </c>
      <c r="AQ94" s="492">
        <f>+AQ93</f>
        <v>19682276.160681814</v>
      </c>
      <c r="AR94" s="476">
        <f>+AR93</f>
        <v>904932.23727272719</v>
      </c>
      <c r="AS94" s="476">
        <f t="shared" si="17"/>
        <v>18777343.923409086</v>
      </c>
      <c r="AT94" s="493">
        <f>+AQ$29*AS94+AR94</f>
        <v>3140704.3025359344</v>
      </c>
      <c r="AU94" s="575"/>
      <c r="AV94" s="575"/>
      <c r="AW94" s="575"/>
      <c r="AX94" s="558"/>
      <c r="AY94" s="575"/>
      <c r="AZ94" s="575"/>
      <c r="BA94" s="575"/>
      <c r="BB94" s="558"/>
      <c r="BC94" s="575"/>
      <c r="BD94" s="575"/>
      <c r="BE94" s="575"/>
      <c r="BF94" s="558"/>
      <c r="BG94" s="575"/>
      <c r="BH94" s="575"/>
      <c r="BI94" s="575"/>
      <c r="BJ94" s="558"/>
      <c r="BK94" s="575"/>
      <c r="BL94" s="575"/>
      <c r="BM94" s="575"/>
      <c r="BN94" s="558"/>
      <c r="BO94" s="575"/>
      <c r="BP94" s="575"/>
      <c r="BQ94" s="575"/>
      <c r="BR94" s="558"/>
      <c r="BS94" s="492">
        <f>+BS93</f>
        <v>182839.50000000023</v>
      </c>
      <c r="BT94" s="476">
        <f>+BT93</f>
        <v>8310.886363636364</v>
      </c>
      <c r="BU94" s="476">
        <f t="shared" si="18"/>
        <v>174528.61363636388</v>
      </c>
      <c r="BV94" s="493">
        <f>+BS$29*BU94+BT94</f>
        <v>29091.578273467159</v>
      </c>
      <c r="BW94" s="492">
        <f>+BW93</f>
        <v>12978927.613636378</v>
      </c>
      <c r="BX94" s="476">
        <f>+BX93</f>
        <v>576841.22727272729</v>
      </c>
      <c r="BY94" s="476">
        <f t="shared" si="20"/>
        <v>12402086.386363652</v>
      </c>
      <c r="BZ94" s="493">
        <f>+BW$29*BY94+BX94</f>
        <v>1972686.993681323</v>
      </c>
      <c r="CA94" s="492">
        <f>+CA93</f>
        <v>1229299.3600000017</v>
      </c>
      <c r="CB94" s="476">
        <f>+CB93</f>
        <v>54433.919999999998</v>
      </c>
      <c r="CC94" s="476">
        <f t="shared" si="21"/>
        <v>1174865.4400000018</v>
      </c>
      <c r="CD94" s="493">
        <f>+CA$29*CC94+CB94</f>
        <v>194322.25255168282</v>
      </c>
      <c r="CE94" s="492">
        <f>+CE93</f>
        <v>105131.89727272742</v>
      </c>
      <c r="CF94" s="476">
        <f>+CF93</f>
        <v>4725.0290909090909</v>
      </c>
      <c r="CG94" s="476">
        <f t="shared" si="22"/>
        <v>100406.86818181834</v>
      </c>
      <c r="CH94" s="493">
        <f>+CE$29*CG94+CF94</f>
        <v>16680.227438296995</v>
      </c>
      <c r="CI94" s="492">
        <f>+CI93</f>
        <v>286403.18181818142</v>
      </c>
      <c r="CJ94" s="476">
        <f>+CJ93</f>
        <v>12362.727272727272</v>
      </c>
      <c r="CK94" s="476">
        <f t="shared" si="23"/>
        <v>274040.45454545412</v>
      </c>
      <c r="CL94" s="493">
        <f>+CI$29*CK94+CJ94</f>
        <v>43205.780319232901</v>
      </c>
      <c r="CM94" s="492">
        <f>+CM93</f>
        <v>13422443.255965915</v>
      </c>
      <c r="CN94" s="476">
        <f>+CN93</f>
        <v>483691.64886363636</v>
      </c>
      <c r="CO94" s="476">
        <f t="shared" si="33"/>
        <v>12938751.607102279</v>
      </c>
      <c r="CP94" s="493">
        <f>+CM$29*CO94+CN94</f>
        <v>1939938.6939772733</v>
      </c>
      <c r="CQ94" s="492">
        <f>+CQ93</f>
        <v>55992173.009829521</v>
      </c>
      <c r="CR94" s="476">
        <f>+CR93</f>
        <v>2017735.9643181816</v>
      </c>
      <c r="CS94" s="476">
        <f t="shared" si="38"/>
        <v>53974437.045511343</v>
      </c>
      <c r="CT94" s="493">
        <f>+CQ$29*CS94+CR94</f>
        <v>8092519.4400325697</v>
      </c>
      <c r="CU94" s="492">
        <f>+CU93</f>
        <v>18933470.430000022</v>
      </c>
      <c r="CV94" s="476">
        <f>+CV93</f>
        <v>676195.37250000006</v>
      </c>
      <c r="CW94" s="476">
        <f t="shared" si="39"/>
        <v>18257275.057500023</v>
      </c>
      <c r="CX94" s="493">
        <f>+CU$29*CW94+CV94</f>
        <v>2731038.3482100558</v>
      </c>
      <c r="CY94" s="492">
        <f>+CY93</f>
        <v>20911.130113636395</v>
      </c>
      <c r="CZ94" s="476">
        <f>+CZ93</f>
        <v>733.72386363636497</v>
      </c>
      <c r="DA94" s="476">
        <f t="shared" si="40"/>
        <v>20177.406250000029</v>
      </c>
      <c r="DB94" s="493">
        <f>+CY$29*DA94+CZ94</f>
        <v>3004.6762029247266</v>
      </c>
      <c r="DC94" s="492">
        <f>+DC93</f>
        <v>1257991.504545456</v>
      </c>
      <c r="DD94" s="476">
        <f>+DD93</f>
        <v>44530.672727272722</v>
      </c>
      <c r="DE94" s="476">
        <f t="shared" si="41"/>
        <v>1213460.8318181834</v>
      </c>
      <c r="DF94" s="493">
        <f>+DC$29*DE94+DD94</f>
        <v>181104.80324279927</v>
      </c>
      <c r="DG94" s="492">
        <f>+DG93</f>
        <v>702225.01806818112</v>
      </c>
      <c r="DH94" s="476">
        <f>+DH93</f>
        <v>24639.474318181816</v>
      </c>
      <c r="DI94" s="476">
        <f t="shared" si="42"/>
        <v>677585.54374999925</v>
      </c>
      <c r="DJ94" s="493">
        <f>+DG$29*DI94+DH94</f>
        <v>100901.232473893</v>
      </c>
      <c r="DK94" s="492">
        <f>+DK93</f>
        <v>15482056.449659094</v>
      </c>
      <c r="DL94" s="476">
        <f>+DL93</f>
        <v>549658.80886363634</v>
      </c>
      <c r="DM94" s="476">
        <f t="shared" si="43"/>
        <v>14932397.640795458</v>
      </c>
      <c r="DN94" s="493">
        <f>+DK$29*DM94+DL94</f>
        <v>2230289.2592491219</v>
      </c>
      <c r="DO94" s="492">
        <f>+DO93</f>
        <v>571453.86268939357</v>
      </c>
      <c r="DP94" s="476">
        <f>+DP93</f>
        <v>19592.703863636354</v>
      </c>
      <c r="DQ94" s="476">
        <f t="shared" si="148"/>
        <v>551861.15882575721</v>
      </c>
      <c r="DR94" s="493">
        <f>+DO$29*DQ94+DP94</f>
        <v>81704.274303852755</v>
      </c>
      <c r="DS94" s="492">
        <f>+DS93</f>
        <v>244724.70545454469</v>
      </c>
      <c r="DT94" s="476">
        <f>+DT93</f>
        <v>8295.7527272726966</v>
      </c>
      <c r="DU94" s="476">
        <f t="shared" si="58"/>
        <v>236428.952727272</v>
      </c>
      <c r="DV94" s="493">
        <f>+DS$29*DU94+DT94</f>
        <v>34905.658709192205</v>
      </c>
      <c r="DW94" s="492">
        <f>+DW93</f>
        <v>35736.579715909043</v>
      </c>
      <c r="DX94" s="476">
        <f>+DX93</f>
        <v>1221.7634090909089</v>
      </c>
      <c r="DY94" s="476">
        <f t="shared" si="59"/>
        <v>34514.816306818131</v>
      </c>
      <c r="DZ94" s="493">
        <f>+DW$29*DY94+DX94</f>
        <v>5106.3807806659406</v>
      </c>
      <c r="EA94" s="492">
        <f>+EA93</f>
        <v>-213015.68926136504</v>
      </c>
      <c r="EB94" s="476">
        <f>+EB93</f>
        <v>-7120.3015909091364</v>
      </c>
      <c r="EC94" s="476">
        <f t="shared" si="60"/>
        <v>-205895.38767045591</v>
      </c>
      <c r="ED94" s="493">
        <f>+EA$29*EC94+EB94</f>
        <v>-30293.677122211891</v>
      </c>
      <c r="EE94" s="576">
        <f>+EE93</f>
        <v>6047565.1304545514</v>
      </c>
      <c r="EF94" s="580">
        <f>+EF93</f>
        <v>192495.44181818186</v>
      </c>
      <c r="EG94" s="580">
        <f t="shared" si="69"/>
        <v>5855069.68863637</v>
      </c>
      <c r="EH94" s="493">
        <f>+EE$29*EG94+EF94</f>
        <v>851479.25972615136</v>
      </c>
      <c r="EI94" s="576">
        <f>+EI93</f>
        <v>244995.7506439393</v>
      </c>
      <c r="EJ94" s="580">
        <f>+EJ93</f>
        <v>7696.2015909090906</v>
      </c>
      <c r="EK94" s="580">
        <f t="shared" si="70"/>
        <v>237299.5490530302</v>
      </c>
      <c r="EL94" s="493">
        <f>+EI$29*EK94+EJ94</f>
        <v>34404.09255355705</v>
      </c>
      <c r="EM94" s="576">
        <f>+EM93</f>
        <v>8360846.6836363617</v>
      </c>
      <c r="EN94" s="580">
        <f>+EN93</f>
        <v>261276.45886363636</v>
      </c>
      <c r="EO94" s="580">
        <f t="shared" si="71"/>
        <v>8099570.2247727253</v>
      </c>
      <c r="EP94" s="493">
        <f>+EM$29*EO94+EN94</f>
        <v>1172877.1731119286</v>
      </c>
      <c r="EQ94" s="576">
        <f>+EQ93</f>
        <v>16268850.192045439</v>
      </c>
      <c r="ER94" s="580">
        <f>+ER93</f>
        <v>500580.00590909086</v>
      </c>
      <c r="ES94" s="580">
        <f t="shared" si="94"/>
        <v>15768270.186136348</v>
      </c>
      <c r="ET94" s="493">
        <f>+EQ$29*ES94+ER94</f>
        <v>2275287.300893411</v>
      </c>
      <c r="EU94" s="576">
        <f>+EU93</f>
        <v>21021509.452272728</v>
      </c>
      <c r="EV94" s="580">
        <f>+EV93</f>
        <v>646815.67545454553</v>
      </c>
      <c r="EW94" s="580">
        <f t="shared" si="95"/>
        <v>20374693.776818182</v>
      </c>
      <c r="EX94" s="493">
        <f>+EU$29*EW94+EV94</f>
        <v>2939972.5818210021</v>
      </c>
      <c r="EY94" s="582">
        <f t="shared" si="103"/>
        <v>36665307.876162753</v>
      </c>
      <c r="EZ94" s="579">
        <f>+EY94</f>
        <v>36665307.876162753</v>
      </c>
      <c r="FA94" s="553"/>
      <c r="FD94" s="492"/>
      <c r="FE94" s="476"/>
      <c r="FF94" s="476"/>
      <c r="FG94" s="493"/>
      <c r="FH94" s="492"/>
      <c r="FI94" s="476"/>
      <c r="FJ94" s="476"/>
      <c r="FK94" s="493"/>
      <c r="FL94" s="492"/>
      <c r="FM94" s="476"/>
      <c r="FN94" s="476"/>
      <c r="FO94" s="493"/>
      <c r="FP94" s="492"/>
      <c r="FQ94" s="476"/>
      <c r="FR94" s="476"/>
      <c r="FS94" s="493"/>
      <c r="FT94" s="492"/>
      <c r="FU94" s="476"/>
      <c r="FV94" s="476"/>
      <c r="FW94" s="493"/>
      <c r="FX94" s="492"/>
      <c r="FY94" s="476"/>
      <c r="FZ94" s="476"/>
      <c r="GA94" s="493"/>
      <c r="GB94" s="492"/>
      <c r="GC94" s="476"/>
      <c r="GD94" s="476"/>
      <c r="GE94" s="493"/>
      <c r="GF94" s="492"/>
      <c r="GG94" s="476"/>
      <c r="GH94" s="476"/>
      <c r="GI94" s="493"/>
      <c r="GJ94" s="492"/>
      <c r="GK94" s="476"/>
      <c r="GL94" s="476"/>
      <c r="GM94" s="493"/>
      <c r="GN94" s="492"/>
      <c r="GO94" s="476"/>
      <c r="GP94" s="476"/>
      <c r="GQ94" s="493"/>
      <c r="GR94" s="492"/>
      <c r="GS94" s="476"/>
      <c r="GT94" s="476"/>
      <c r="GU94" s="493"/>
      <c r="GV94" s="492"/>
      <c r="GW94" s="476"/>
      <c r="GX94" s="476"/>
      <c r="GY94" s="493"/>
      <c r="GZ94" s="492"/>
      <c r="HA94" s="476"/>
      <c r="HB94" s="476"/>
      <c r="HC94" s="493"/>
      <c r="HD94" s="576"/>
      <c r="HE94" s="580"/>
      <c r="HF94" s="580"/>
      <c r="HG94" s="918"/>
      <c r="HH94" s="919"/>
      <c r="HI94" s="925"/>
      <c r="HJ94" s="925"/>
      <c r="HK94" s="918"/>
      <c r="HL94" s="919"/>
      <c r="HM94" s="925"/>
      <c r="HN94" s="925"/>
      <c r="HO94" s="918"/>
      <c r="HP94" s="919"/>
      <c r="HQ94" s="925"/>
      <c r="HR94" s="925"/>
      <c r="HS94" s="918"/>
      <c r="HT94" s="919"/>
      <c r="HU94" s="925"/>
      <c r="HV94" s="925"/>
      <c r="HW94" s="918"/>
      <c r="HY94" s="492"/>
      <c r="HZ94" s="476"/>
      <c r="IA94" s="476"/>
      <c r="IB94" s="493"/>
      <c r="IC94" s="492"/>
      <c r="ID94" s="476"/>
      <c r="IE94" s="476"/>
      <c r="IF94" s="493"/>
      <c r="IG94" s="492"/>
      <c r="IH94" s="476"/>
      <c r="II94" s="476"/>
      <c r="IJ94" s="493"/>
    </row>
    <row r="95" spans="1:244">
      <c r="A95" s="554" t="s">
        <v>24</v>
      </c>
      <c r="B95" s="574">
        <v>2034</v>
      </c>
      <c r="C95" s="575">
        <f>+E94</f>
        <v>8358599.7017045394</v>
      </c>
      <c r="D95" s="575">
        <f>+C$31</f>
        <v>445791.98409090913</v>
      </c>
      <c r="E95" s="575">
        <f t="shared" si="6"/>
        <v>7912807.71761363</v>
      </c>
      <c r="F95" s="558">
        <f>+C$28*E95+D95</f>
        <v>1336372.7145380471</v>
      </c>
      <c r="G95" s="575">
        <f>+I94</f>
        <v>2143053.8665909069</v>
      </c>
      <c r="H95" s="575">
        <f>+G$31</f>
        <v>115840.74954545456</v>
      </c>
      <c r="I95" s="575">
        <f t="shared" si="7"/>
        <v>2027213.1170454524</v>
      </c>
      <c r="J95" s="558">
        <f>+G$28*I95+H95</f>
        <v>344002.10553690739</v>
      </c>
      <c r="K95" s="576">
        <f>+M94</f>
        <v>5421200.7601704504</v>
      </c>
      <c r="L95" s="575">
        <f>+K$31</f>
        <v>305419.76113636367</v>
      </c>
      <c r="M95" s="575">
        <f t="shared" si="8"/>
        <v>5115780.9990340872</v>
      </c>
      <c r="N95" s="558">
        <f>+K$28*M95+L95</f>
        <v>881197.17688044114</v>
      </c>
      <c r="O95" s="576">
        <f>+Q94</f>
        <v>2366440.3106060568</v>
      </c>
      <c r="P95" s="575">
        <f>+O$31</f>
        <v>119316.31818181818</v>
      </c>
      <c r="Q95" s="575">
        <f t="shared" si="11"/>
        <v>2247123.9924242385</v>
      </c>
      <c r="R95" s="558">
        <f>+O$28*Q95+P95</f>
        <v>372228.4826116155</v>
      </c>
      <c r="S95" s="492">
        <f>+U94</f>
        <v>1059401.9824242392</v>
      </c>
      <c r="T95" s="476">
        <f>+S$31</f>
        <v>58315.705454545445</v>
      </c>
      <c r="U95" s="476">
        <f t="shared" si="12"/>
        <v>1001086.2769696937</v>
      </c>
      <c r="V95" s="493">
        <f>+S$28*U95+T95</f>
        <v>170987.23490416433</v>
      </c>
      <c r="W95" s="492">
        <f>+Y94</f>
        <v>13750323.337121218</v>
      </c>
      <c r="X95" s="476">
        <f>+W$31</f>
        <v>693293.61363636365</v>
      </c>
      <c r="Y95" s="476">
        <f t="shared" si="13"/>
        <v>13057029.723484855</v>
      </c>
      <c r="Z95" s="493">
        <f>+W$28*Y95+X95</f>
        <v>2162852.7743786201</v>
      </c>
      <c r="AA95" s="492">
        <f>+AC94</f>
        <v>8979096.4678030312</v>
      </c>
      <c r="AB95" s="476">
        <f>+AA$31</f>
        <v>450833.29545454547</v>
      </c>
      <c r="AC95" s="476">
        <f t="shared" si="14"/>
        <v>8528263.1723484863</v>
      </c>
      <c r="AD95" s="493">
        <f>+AA$28*AC95+AB95</f>
        <v>1410683.0879080007</v>
      </c>
      <c r="AE95" s="492">
        <f>+AG94</f>
        <v>89658.784090909205</v>
      </c>
      <c r="AF95" s="476">
        <f>+AE$31</f>
        <v>4597.886363636364</v>
      </c>
      <c r="AG95" s="476">
        <f t="shared" si="15"/>
        <v>85060.897727272837</v>
      </c>
      <c r="AH95" s="493">
        <f>+AE$28*AG95+AF95</f>
        <v>14171.42828881409</v>
      </c>
      <c r="AI95" s="492">
        <f>+AK94</f>
        <v>6157238.1628787909</v>
      </c>
      <c r="AJ95" s="476">
        <f>+AI$31</f>
        <v>295547.43181818182</v>
      </c>
      <c r="AK95" s="476">
        <f t="shared" si="19"/>
        <v>5861690.7310606092</v>
      </c>
      <c r="AL95" s="493">
        <f>+AI$28*AK95+AJ95</f>
        <v>955276.443216115</v>
      </c>
      <c r="AM95" s="492">
        <f>+AO94</f>
        <v>2272771.7714772737</v>
      </c>
      <c r="AN95" s="476">
        <f>+AM$31</f>
        <v>110866.91568181818</v>
      </c>
      <c r="AO95" s="476">
        <f t="shared" si="16"/>
        <v>2161904.8557954556</v>
      </c>
      <c r="AP95" s="493">
        <f>+AM$28*AO95+AN95</f>
        <v>354187.72851362359</v>
      </c>
      <c r="AQ95" s="492">
        <f>+AS94</f>
        <v>18777343.923409086</v>
      </c>
      <c r="AR95" s="476">
        <f>+AQ$31</f>
        <v>904932.23727272719</v>
      </c>
      <c r="AS95" s="476">
        <f t="shared" si="17"/>
        <v>17872411.686136357</v>
      </c>
      <c r="AT95" s="493">
        <f>+AQ$28*AS95+AR95</f>
        <v>2916459.1215746161</v>
      </c>
      <c r="AU95" s="575"/>
      <c r="AV95" s="575"/>
      <c r="AW95" s="575"/>
      <c r="AX95" s="558"/>
      <c r="AY95" s="575"/>
      <c r="AZ95" s="575"/>
      <c r="BA95" s="575"/>
      <c r="BB95" s="558"/>
      <c r="BC95" s="575"/>
      <c r="BD95" s="575"/>
      <c r="BE95" s="575"/>
      <c r="BF95" s="558"/>
      <c r="BG95" s="575"/>
      <c r="BH95" s="575"/>
      <c r="BI95" s="575"/>
      <c r="BJ95" s="558"/>
      <c r="BK95" s="575"/>
      <c r="BL95" s="575"/>
      <c r="BM95" s="575"/>
      <c r="BN95" s="558"/>
      <c r="BO95" s="575"/>
      <c r="BP95" s="575"/>
      <c r="BQ95" s="575"/>
      <c r="BR95" s="558"/>
      <c r="BS95" s="492">
        <f>+BU94</f>
        <v>174528.61363636388</v>
      </c>
      <c r="BT95" s="476">
        <f>+BS$31</f>
        <v>8310.886363636364</v>
      </c>
      <c r="BU95" s="476">
        <f t="shared" si="18"/>
        <v>166217.72727272753</v>
      </c>
      <c r="BV95" s="493">
        <f>+BS$28*BU95+BT95</f>
        <v>27018.570190996234</v>
      </c>
      <c r="BW95" s="492">
        <f>+BY94</f>
        <v>12402086.386363652</v>
      </c>
      <c r="BX95" s="476">
        <f>+BW$31</f>
        <v>576841.22727272729</v>
      </c>
      <c r="BY95" s="476">
        <f t="shared" si="20"/>
        <v>11825245.159090925</v>
      </c>
      <c r="BZ95" s="493">
        <f>+BW$28*BY95+BX95</f>
        <v>1907763.9347785979</v>
      </c>
      <c r="CA95" s="492">
        <f>+CC94</f>
        <v>1174865.4400000018</v>
      </c>
      <c r="CB95" s="476">
        <f>+CA$31</f>
        <v>54433.919999999998</v>
      </c>
      <c r="CC95" s="476">
        <f t="shared" si="21"/>
        <v>1120431.5200000019</v>
      </c>
      <c r="CD95" s="493">
        <f>+CA$28*CC95+CB95</f>
        <v>180537.66940319276</v>
      </c>
      <c r="CE95" s="492">
        <f>+CG94</f>
        <v>100406.86818181834</v>
      </c>
      <c r="CF95" s="476">
        <f>+CE$31</f>
        <v>4725.0290909090909</v>
      </c>
      <c r="CG95" s="476">
        <f t="shared" si="22"/>
        <v>95681.839090909256</v>
      </c>
      <c r="CH95" s="493">
        <f>+CE$28*CG95+CF95</f>
        <v>15493.950210833149</v>
      </c>
      <c r="CI95" s="492">
        <f>+CK94</f>
        <v>274040.45454545412</v>
      </c>
      <c r="CJ95" s="476">
        <f>+CI$31</f>
        <v>12362.727272727272</v>
      </c>
      <c r="CK95" s="476">
        <f t="shared" si="23"/>
        <v>261677.72727272686</v>
      </c>
      <c r="CL95" s="493">
        <f>+CI$28*CK95+CJ95</f>
        <v>41814.364392322866</v>
      </c>
      <c r="CM95" s="492">
        <f>+CO94</f>
        <v>12938751.607102279</v>
      </c>
      <c r="CN95" s="476">
        <f>+CM$31</f>
        <v>483691.64886363636</v>
      </c>
      <c r="CO95" s="476">
        <f t="shared" si="33"/>
        <v>12455059.958238643</v>
      </c>
      <c r="CP95" s="493">
        <f>+CM$28*CO95+CN95</f>
        <v>1885499.5521038664</v>
      </c>
      <c r="CQ95" s="492">
        <f>+CS94</f>
        <v>53974437.045511343</v>
      </c>
      <c r="CR95" s="476">
        <f>+CQ$31</f>
        <v>2017735.9643181816</v>
      </c>
      <c r="CS95" s="476">
        <f t="shared" si="38"/>
        <v>51956701.081193164</v>
      </c>
      <c r="CT95" s="493">
        <f>+CQ$28*CS95+CR95</f>
        <v>7865424.7306600697</v>
      </c>
      <c r="CU95" s="492">
        <f>+CW94</f>
        <v>18257275.057500023</v>
      </c>
      <c r="CV95" s="476">
        <f>+CU$31</f>
        <v>676195.37250000006</v>
      </c>
      <c r="CW95" s="476">
        <f t="shared" si="39"/>
        <v>17581079.685000025</v>
      </c>
      <c r="CX95" s="493">
        <f>+CU$28*CW95+CV95</f>
        <v>2654933.0528133875</v>
      </c>
      <c r="CY95" s="492">
        <f>+DA94</f>
        <v>20177.406250000029</v>
      </c>
      <c r="CZ95" s="476">
        <f>+CY$31</f>
        <v>733.72386363636497</v>
      </c>
      <c r="DA95" s="476">
        <f t="shared" si="40"/>
        <v>19443.682386363664</v>
      </c>
      <c r="DB95" s="493">
        <f>+CY$28*DA95+CZ95</f>
        <v>2922.0961178596954</v>
      </c>
      <c r="DC95" s="492">
        <f>+DE94</f>
        <v>1213460.8318181834</v>
      </c>
      <c r="DD95" s="476">
        <f>+DC$31</f>
        <v>44530.672727272722</v>
      </c>
      <c r="DE95" s="476">
        <f t="shared" si="41"/>
        <v>1168930.1590909108</v>
      </c>
      <c r="DF95" s="493">
        <f>+DC$28*DE95+DD95</f>
        <v>176092.90854498179</v>
      </c>
      <c r="DG95" s="492">
        <f>+DI94</f>
        <v>677585.54374999925</v>
      </c>
      <c r="DH95" s="476">
        <f>+DG$31</f>
        <v>24639.474318181816</v>
      </c>
      <c r="DI95" s="476">
        <f t="shared" si="42"/>
        <v>652946.06943181739</v>
      </c>
      <c r="DJ95" s="493">
        <f>+DG$28*DI95+DH95</f>
        <v>98128.077631867127</v>
      </c>
      <c r="DK95" s="492">
        <f>+DM94</f>
        <v>14932397.640795458</v>
      </c>
      <c r="DL95" s="476">
        <f>+DK$31</f>
        <v>549658.80886363634</v>
      </c>
      <c r="DM95" s="476">
        <f t="shared" si="43"/>
        <v>14382738.831931822</v>
      </c>
      <c r="DN95" s="493">
        <f>+DK$28*DM95+DL95</f>
        <v>2168425.56168892</v>
      </c>
      <c r="DO95" s="492">
        <f>+DQ94</f>
        <v>551861.15882575721</v>
      </c>
      <c r="DP95" s="476">
        <f>+DO$31</f>
        <v>19592.703863636354</v>
      </c>
      <c r="DQ95" s="476">
        <f t="shared" si="148"/>
        <v>532268.45496212086</v>
      </c>
      <c r="DR95" s="493">
        <f>+DO$28*DQ95+DP95</f>
        <v>79499.129791182349</v>
      </c>
      <c r="DS95" s="492">
        <f>+DU94</f>
        <v>236428.952727272</v>
      </c>
      <c r="DT95" s="476">
        <f>+DS$31</f>
        <v>8295.7527272726966</v>
      </c>
      <c r="DU95" s="476">
        <f t="shared" si="58"/>
        <v>228133.19999999931</v>
      </c>
      <c r="DV95" s="493">
        <f>+DS$28*DU95+DT95</f>
        <v>33971.977797545907</v>
      </c>
      <c r="DW95" s="492">
        <f>+DY94</f>
        <v>34514.816306818131</v>
      </c>
      <c r="DX95" s="476">
        <f>+DW$31</f>
        <v>1221.7634090909089</v>
      </c>
      <c r="DY95" s="476">
        <f t="shared" si="59"/>
        <v>33293.052897727219</v>
      </c>
      <c r="DZ95" s="493">
        <f>+DW$28*DY95+DX95</f>
        <v>4968.8722011411601</v>
      </c>
      <c r="EA95" s="492">
        <f>+EC94</f>
        <v>-205895.38767045591</v>
      </c>
      <c r="EB95" s="476">
        <f>+EA$31</f>
        <v>-7120.3015909091364</v>
      </c>
      <c r="EC95" s="476">
        <f t="shared" si="60"/>
        <v>-198775.08607954677</v>
      </c>
      <c r="ED95" s="493">
        <f>+EA$28*EC95+EB95</f>
        <v>-29492.292377613529</v>
      </c>
      <c r="EE95" s="576">
        <f>+EG94</f>
        <v>5855069.68863637</v>
      </c>
      <c r="EF95" s="580">
        <f>+EE$31</f>
        <v>192495.44181818186</v>
      </c>
      <c r="EG95" s="580">
        <f t="shared" si="69"/>
        <v>5662574.2468181886</v>
      </c>
      <c r="EH95" s="493">
        <f>+EE$28*EG95+EF95</f>
        <v>829814.03831547848</v>
      </c>
      <c r="EI95" s="576">
        <f>+EK94</f>
        <v>237299.5490530302</v>
      </c>
      <c r="EJ95" s="580">
        <f>+EI$31</f>
        <v>7696.2015909090906</v>
      </c>
      <c r="EK95" s="580">
        <f t="shared" si="70"/>
        <v>229603.34746212111</v>
      </c>
      <c r="EL95" s="493">
        <f>+EI$28*EK95+EJ95</f>
        <v>33537.890684498198</v>
      </c>
      <c r="EM95" s="576">
        <f>+EO94</f>
        <v>8099570.2247727253</v>
      </c>
      <c r="EN95" s="580">
        <f>+EM$31</f>
        <v>261276.45886363636</v>
      </c>
      <c r="EO95" s="580">
        <f t="shared" si="71"/>
        <v>7838293.7659090888</v>
      </c>
      <c r="EP95" s="493">
        <f>+EM$28*EO95+EN95</f>
        <v>1143470.6984587577</v>
      </c>
      <c r="EQ95" s="576">
        <f>+ES94</f>
        <v>15768270.186136348</v>
      </c>
      <c r="ER95" s="580">
        <f>+EQ$31</f>
        <v>500580.00590909086</v>
      </c>
      <c r="ES95" s="580">
        <f t="shared" si="94"/>
        <v>15267690.180227257</v>
      </c>
      <c r="ET95" s="493">
        <f>+EQ$28*ES95+ER95</f>
        <v>2218947.3867669245</v>
      </c>
      <c r="EU95" s="576">
        <f>+EW94</f>
        <v>20374693.776818182</v>
      </c>
      <c r="EV95" s="580">
        <f>+EU$31</f>
        <v>646815.67545454553</v>
      </c>
      <c r="EW95" s="580">
        <f t="shared" si="95"/>
        <v>19727878.101363637</v>
      </c>
      <c r="EX95" s="493">
        <f>+EU$28*EW95+EV95</f>
        <v>2867173.9498728607</v>
      </c>
      <c r="EY95" s="582">
        <f t="shared" si="103"/>
        <v>35124364.418398634</v>
      </c>
      <c r="EZ95" s="557"/>
      <c r="FA95" s="578">
        <f>+EY95</f>
        <v>35124364.418398634</v>
      </c>
      <c r="FD95" s="492"/>
      <c r="FE95" s="476"/>
      <c r="FF95" s="476"/>
      <c r="FG95" s="493"/>
      <c r="FH95" s="492"/>
      <c r="FI95" s="476"/>
      <c r="FJ95" s="476"/>
      <c r="FK95" s="493"/>
      <c r="FL95" s="492"/>
      <c r="FM95" s="476"/>
      <c r="FN95" s="476"/>
      <c r="FO95" s="493"/>
      <c r="FP95" s="492"/>
      <c r="FQ95" s="476"/>
      <c r="FR95" s="476"/>
      <c r="FS95" s="493"/>
      <c r="FT95" s="492"/>
      <c r="FU95" s="476"/>
      <c r="FV95" s="476"/>
      <c r="FW95" s="493"/>
      <c r="FX95" s="492"/>
      <c r="FY95" s="476"/>
      <c r="FZ95" s="476"/>
      <c r="GA95" s="493"/>
      <c r="GB95" s="492"/>
      <c r="GC95" s="476"/>
      <c r="GD95" s="476"/>
      <c r="GE95" s="493"/>
      <c r="GF95" s="492"/>
      <c r="GG95" s="476"/>
      <c r="GH95" s="476"/>
      <c r="GI95" s="493"/>
      <c r="GJ95" s="492"/>
      <c r="GK95" s="476"/>
      <c r="GL95" s="476"/>
      <c r="GM95" s="493"/>
      <c r="GN95" s="492"/>
      <c r="GO95" s="476"/>
      <c r="GP95" s="476"/>
      <c r="GQ95" s="493"/>
      <c r="GR95" s="492"/>
      <c r="GS95" s="476"/>
      <c r="GT95" s="476"/>
      <c r="GU95" s="493"/>
      <c r="GV95" s="492"/>
      <c r="GW95" s="476"/>
      <c r="GX95" s="476"/>
      <c r="GY95" s="493"/>
      <c r="GZ95" s="492"/>
      <c r="HA95" s="476"/>
      <c r="HB95" s="476"/>
      <c r="HC95" s="493"/>
      <c r="HD95" s="576"/>
      <c r="HE95" s="580"/>
      <c r="HF95" s="580"/>
      <c r="HG95" s="918"/>
      <c r="HH95" s="919"/>
      <c r="HI95" s="925"/>
      <c r="HJ95" s="925"/>
      <c r="HK95" s="918"/>
      <c r="HL95" s="919"/>
      <c r="HM95" s="925"/>
      <c r="HN95" s="925"/>
      <c r="HO95" s="918"/>
      <c r="HP95" s="919"/>
      <c r="HQ95" s="925"/>
      <c r="HR95" s="925"/>
      <c r="HS95" s="918"/>
      <c r="HT95" s="919"/>
      <c r="HU95" s="925"/>
      <c r="HV95" s="925"/>
      <c r="HW95" s="918"/>
      <c r="HY95" s="492"/>
      <c r="HZ95" s="476"/>
      <c r="IA95" s="476"/>
      <c r="IB95" s="493"/>
      <c r="IC95" s="492"/>
      <c r="ID95" s="476"/>
      <c r="IE95" s="476"/>
      <c r="IF95" s="493"/>
      <c r="IG95" s="492"/>
      <c r="IH95" s="476"/>
      <c r="II95" s="476"/>
      <c r="IJ95" s="493"/>
    </row>
    <row r="96" spans="1:244">
      <c r="A96" s="554" t="s">
        <v>23</v>
      </c>
      <c r="B96" s="574">
        <v>2034</v>
      </c>
      <c r="C96" s="575">
        <f>+C95</f>
        <v>8358599.7017045394</v>
      </c>
      <c r="D96" s="575">
        <f>+D95</f>
        <v>445791.98409090913</v>
      </c>
      <c r="E96" s="575">
        <f t="shared" si="6"/>
        <v>7912807.71761363</v>
      </c>
      <c r="F96" s="558">
        <f>+C$29*E96+D96</f>
        <v>1387950.4983621743</v>
      </c>
      <c r="G96" s="575">
        <f>+G95</f>
        <v>2143053.8665909069</v>
      </c>
      <c r="H96" s="575">
        <f>+H95</f>
        <v>115840.74954545456</v>
      </c>
      <c r="I96" s="575">
        <f t="shared" si="7"/>
        <v>2027213.1170454524</v>
      </c>
      <c r="J96" s="558">
        <f>+G$29*I96+H96</f>
        <v>357216.01944052213</v>
      </c>
      <c r="K96" s="576">
        <f>+K95</f>
        <v>5421200.7601704504</v>
      </c>
      <c r="L96" s="575">
        <f>+L95</f>
        <v>305419.76113636367</v>
      </c>
      <c r="M96" s="575">
        <f t="shared" si="8"/>
        <v>5115780.9990340872</v>
      </c>
      <c r="N96" s="558">
        <f>+K$29*M96+L96</f>
        <v>914543.19713977468</v>
      </c>
      <c r="O96" s="576">
        <f>+O95</f>
        <v>2366440.3106060568</v>
      </c>
      <c r="P96" s="575">
        <f>+P95</f>
        <v>119316.31818181818</v>
      </c>
      <c r="Q96" s="575">
        <f t="shared" si="11"/>
        <v>2247123.9924242385</v>
      </c>
      <c r="R96" s="558">
        <f>+O$29*Q96+P96</f>
        <v>386875.83405038144</v>
      </c>
      <c r="S96" s="492">
        <f>+S95</f>
        <v>1059401.9824242392</v>
      </c>
      <c r="T96" s="476">
        <f>+T95</f>
        <v>58315.705454545445</v>
      </c>
      <c r="U96" s="476">
        <f t="shared" si="12"/>
        <v>1001086.2769696937</v>
      </c>
      <c r="V96" s="493">
        <f>+S$29*U96+T96</f>
        <v>177512.58133308211</v>
      </c>
      <c r="W96" s="492">
        <f>+W95</f>
        <v>13750323.337121218</v>
      </c>
      <c r="X96" s="476">
        <f>+X95</f>
        <v>693293.61363636365</v>
      </c>
      <c r="Y96" s="476">
        <f t="shared" si="13"/>
        <v>13057029.723484855</v>
      </c>
      <c r="Z96" s="493">
        <f>+W$29*Y96+X96</f>
        <v>2247961.9645038927</v>
      </c>
      <c r="AA96" s="492">
        <f>+AA95</f>
        <v>8979096.4678030312</v>
      </c>
      <c r="AB96" s="476">
        <f>+AB95</f>
        <v>450833.29545454547</v>
      </c>
      <c r="AC96" s="476">
        <f t="shared" si="14"/>
        <v>8528263.1723484863</v>
      </c>
      <c r="AD96" s="493">
        <f>+AA$29*AC96+AB96</f>
        <v>1466272.5739660938</v>
      </c>
      <c r="AE96" s="492">
        <f>+AE95</f>
        <v>89658.784090909205</v>
      </c>
      <c r="AF96" s="476">
        <f>+AF95</f>
        <v>4597.886363636364</v>
      </c>
      <c r="AG96" s="476">
        <f t="shared" si="15"/>
        <v>85060.897727272837</v>
      </c>
      <c r="AH96" s="493">
        <f>+AE$29*AG96+AF96</f>
        <v>14725.877828273715</v>
      </c>
      <c r="AI96" s="492">
        <f>+AI95</f>
        <v>6157238.1628787909</v>
      </c>
      <c r="AJ96" s="476">
        <f>+AJ95</f>
        <v>295547.43181818182</v>
      </c>
      <c r="AK96" s="476">
        <f t="shared" si="19"/>
        <v>5861690.7310606092</v>
      </c>
      <c r="AL96" s="493">
        <f>+AI$29*AK96+AJ96</f>
        <v>993484.50136184134</v>
      </c>
      <c r="AM96" s="492">
        <f>+AM95</f>
        <v>2272771.7714772737</v>
      </c>
      <c r="AN96" s="476">
        <f>+AN95</f>
        <v>110866.91568181818</v>
      </c>
      <c r="AO96" s="476">
        <f t="shared" si="16"/>
        <v>2161904.8557954556</v>
      </c>
      <c r="AP96" s="493">
        <f>+AM$29*AO96+AN96</f>
        <v>368279.5989697121</v>
      </c>
      <c r="AQ96" s="492">
        <f>+AQ95</f>
        <v>18777343.923409086</v>
      </c>
      <c r="AR96" s="476">
        <f>+AR95</f>
        <v>904932.23727272719</v>
      </c>
      <c r="AS96" s="476">
        <f t="shared" si="17"/>
        <v>17872411.686136357</v>
      </c>
      <c r="AT96" s="493">
        <f>+AQ$29*AS96+AR96</f>
        <v>3032956.2511979486</v>
      </c>
      <c r="AU96" s="575"/>
      <c r="AV96" s="575"/>
      <c r="AW96" s="575"/>
      <c r="AX96" s="558"/>
      <c r="AY96" s="575"/>
      <c r="AZ96" s="575"/>
      <c r="BA96" s="575"/>
      <c r="BB96" s="558"/>
      <c r="BC96" s="575"/>
      <c r="BD96" s="575"/>
      <c r="BE96" s="575"/>
      <c r="BF96" s="558"/>
      <c r="BG96" s="575"/>
      <c r="BH96" s="575"/>
      <c r="BI96" s="575"/>
      <c r="BJ96" s="558"/>
      <c r="BK96" s="575"/>
      <c r="BL96" s="575"/>
      <c r="BM96" s="575"/>
      <c r="BN96" s="558"/>
      <c r="BO96" s="575"/>
      <c r="BP96" s="575"/>
      <c r="BQ96" s="575"/>
      <c r="BR96" s="558"/>
      <c r="BS96" s="492">
        <f>+BS95</f>
        <v>174528.61363636388</v>
      </c>
      <c r="BT96" s="476">
        <f>+BT95</f>
        <v>8310.886363636364</v>
      </c>
      <c r="BU96" s="476">
        <f t="shared" si="18"/>
        <v>166217.72727272753</v>
      </c>
      <c r="BV96" s="493">
        <f>+BS$29*BU96+BT96</f>
        <v>28102.021515856173</v>
      </c>
      <c r="BW96" s="492">
        <f>+BW95</f>
        <v>12402086.386363652</v>
      </c>
      <c r="BX96" s="476">
        <f>+BX95</f>
        <v>576841.22727272729</v>
      </c>
      <c r="BY96" s="476">
        <f t="shared" si="20"/>
        <v>11825245.159090925</v>
      </c>
      <c r="BZ96" s="493">
        <f>+BW$29*BY96+BX96</f>
        <v>1907763.9347785979</v>
      </c>
      <c r="CA96" s="492">
        <f>+CA95</f>
        <v>1174865.4400000018</v>
      </c>
      <c r="CB96" s="476">
        <f>+CB95</f>
        <v>54433.919999999998</v>
      </c>
      <c r="CC96" s="476">
        <f t="shared" si="21"/>
        <v>1120431.5200000019</v>
      </c>
      <c r="CD96" s="493">
        <f>+CA$29*CC96+CB96</f>
        <v>187840.93984658556</v>
      </c>
      <c r="CE96" s="492">
        <f>+CE95</f>
        <v>100406.86818181834</v>
      </c>
      <c r="CF96" s="476">
        <f>+CF95</f>
        <v>4725.0290909090909</v>
      </c>
      <c r="CG96" s="476">
        <f t="shared" si="22"/>
        <v>95681.839090909256</v>
      </c>
      <c r="CH96" s="493">
        <f>+CE$29*CG96+CF96</f>
        <v>16117.629869008155</v>
      </c>
      <c r="CI96" s="492">
        <f>+CI95</f>
        <v>274040.45454545412</v>
      </c>
      <c r="CJ96" s="476">
        <f>+CJ95</f>
        <v>12362.727272727272</v>
      </c>
      <c r="CK96" s="476">
        <f t="shared" si="23"/>
        <v>261677.72727272686</v>
      </c>
      <c r="CL96" s="493">
        <f>+CI$29*CK96+CJ96</f>
        <v>41814.364392322866</v>
      </c>
      <c r="CM96" s="492">
        <f>+CM95</f>
        <v>12938751.607102279</v>
      </c>
      <c r="CN96" s="476">
        <f>+CN95</f>
        <v>483691.64886363636</v>
      </c>
      <c r="CO96" s="476">
        <f t="shared" si="33"/>
        <v>12455059.958238643</v>
      </c>
      <c r="CP96" s="493">
        <f>+CM$29*CO96+CN96</f>
        <v>1885499.5521038664</v>
      </c>
      <c r="CQ96" s="492">
        <f>+CQ95</f>
        <v>53974437.045511343</v>
      </c>
      <c r="CR96" s="476">
        <f>+CR95</f>
        <v>2017735.9643181816</v>
      </c>
      <c r="CS96" s="476">
        <f t="shared" si="38"/>
        <v>51956701.081193164</v>
      </c>
      <c r="CT96" s="493">
        <f>+CQ$29*CS96+CR96</f>
        <v>7865424.7306600697</v>
      </c>
      <c r="CU96" s="492">
        <f>+CU95</f>
        <v>18257275.057500023</v>
      </c>
      <c r="CV96" s="476">
        <f>+CV95</f>
        <v>676195.37250000006</v>
      </c>
      <c r="CW96" s="476">
        <f t="shared" si="39"/>
        <v>17581079.685000025</v>
      </c>
      <c r="CX96" s="493">
        <f>+CU$29*CW96+CV96</f>
        <v>2654933.0528133875</v>
      </c>
      <c r="CY96" s="492">
        <f>+CY95</f>
        <v>20177.406250000029</v>
      </c>
      <c r="CZ96" s="476">
        <f>+CZ95</f>
        <v>733.72386363636497</v>
      </c>
      <c r="DA96" s="476">
        <f t="shared" si="40"/>
        <v>19443.682386363664</v>
      </c>
      <c r="DB96" s="493">
        <f>+CY$29*DA96+CZ96</f>
        <v>2922.0961178596954</v>
      </c>
      <c r="DC96" s="492">
        <f>+DC95</f>
        <v>1213460.8318181834</v>
      </c>
      <c r="DD96" s="476">
        <f>+DD95</f>
        <v>44530.672727272722</v>
      </c>
      <c r="DE96" s="476">
        <f t="shared" si="41"/>
        <v>1168930.1590909108</v>
      </c>
      <c r="DF96" s="493">
        <f>+DC$29*DE96+DD96</f>
        <v>176092.90854498179</v>
      </c>
      <c r="DG96" s="492">
        <f>+DG95</f>
        <v>677585.54374999925</v>
      </c>
      <c r="DH96" s="476">
        <f>+DH95</f>
        <v>24639.474318181816</v>
      </c>
      <c r="DI96" s="476">
        <f t="shared" si="42"/>
        <v>652946.06943181739</v>
      </c>
      <c r="DJ96" s="493">
        <f>+DG$29*DI96+DH96</f>
        <v>98128.077631867127</v>
      </c>
      <c r="DK96" s="492">
        <f>+DK95</f>
        <v>14932397.640795458</v>
      </c>
      <c r="DL96" s="476">
        <f>+DL95</f>
        <v>549658.80886363634</v>
      </c>
      <c r="DM96" s="476">
        <f t="shared" si="43"/>
        <v>14382738.831931822</v>
      </c>
      <c r="DN96" s="493">
        <f>+DK$29*DM96+DL96</f>
        <v>2168425.56168892</v>
      </c>
      <c r="DO96" s="492">
        <f>+DO95</f>
        <v>551861.15882575721</v>
      </c>
      <c r="DP96" s="476">
        <f>+DP95</f>
        <v>19592.703863636354</v>
      </c>
      <c r="DQ96" s="476">
        <f t="shared" si="148"/>
        <v>532268.45496212086</v>
      </c>
      <c r="DR96" s="493">
        <f>+DO$29*DQ96+DP96</f>
        <v>79499.129791182349</v>
      </c>
      <c r="DS96" s="492">
        <f>+DS95</f>
        <v>236428.952727272</v>
      </c>
      <c r="DT96" s="476">
        <f>+DT95</f>
        <v>8295.7527272726966</v>
      </c>
      <c r="DU96" s="476">
        <f t="shared" si="58"/>
        <v>228133.19999999931</v>
      </c>
      <c r="DV96" s="493">
        <f>+DS$29*DU96+DT96</f>
        <v>33971.977797545907</v>
      </c>
      <c r="DW96" s="492">
        <f>+DW95</f>
        <v>34514.816306818131</v>
      </c>
      <c r="DX96" s="476">
        <f>+DX95</f>
        <v>1221.7634090909089</v>
      </c>
      <c r="DY96" s="476">
        <f t="shared" si="59"/>
        <v>33293.052897727219</v>
      </c>
      <c r="DZ96" s="493">
        <f>+DW$29*DY96+DX96</f>
        <v>4968.8722011411601</v>
      </c>
      <c r="EA96" s="492">
        <f>+EA95</f>
        <v>-205895.38767045591</v>
      </c>
      <c r="EB96" s="476">
        <f>+EB95</f>
        <v>-7120.3015909091364</v>
      </c>
      <c r="EC96" s="476">
        <f t="shared" si="60"/>
        <v>-198775.08607954677</v>
      </c>
      <c r="ED96" s="493">
        <f>+EA$29*EC96+EB96</f>
        <v>-29492.292377613529</v>
      </c>
      <c r="EE96" s="576">
        <f>+EE95</f>
        <v>5855069.68863637</v>
      </c>
      <c r="EF96" s="580">
        <f>+EF95</f>
        <v>192495.44181818186</v>
      </c>
      <c r="EG96" s="580">
        <f t="shared" si="69"/>
        <v>5662574.2468181886</v>
      </c>
      <c r="EH96" s="493">
        <f>+EE$29*EG96+EF96</f>
        <v>829814.03831547848</v>
      </c>
      <c r="EI96" s="576">
        <f>+EI95</f>
        <v>237299.5490530302</v>
      </c>
      <c r="EJ96" s="580">
        <f>+EJ95</f>
        <v>7696.2015909090906</v>
      </c>
      <c r="EK96" s="580">
        <f t="shared" si="70"/>
        <v>229603.34746212111</v>
      </c>
      <c r="EL96" s="493">
        <f>+EI$29*EK96+EJ96</f>
        <v>33537.890684498198</v>
      </c>
      <c r="EM96" s="576">
        <f>+EM95</f>
        <v>8099570.2247727253</v>
      </c>
      <c r="EN96" s="580">
        <f>+EN95</f>
        <v>261276.45886363636</v>
      </c>
      <c r="EO96" s="580">
        <f t="shared" si="71"/>
        <v>7838293.7659090888</v>
      </c>
      <c r="EP96" s="493">
        <f>+EM$29*EO96+EN96</f>
        <v>1143470.6984587577</v>
      </c>
      <c r="EQ96" s="576">
        <f>+EQ95</f>
        <v>15768270.186136348</v>
      </c>
      <c r="ER96" s="580">
        <f>+ER95</f>
        <v>500580.00590909086</v>
      </c>
      <c r="ES96" s="580">
        <f t="shared" si="94"/>
        <v>15267690.180227257</v>
      </c>
      <c r="ET96" s="493">
        <f>+EQ$29*ES96+ER96</f>
        <v>2218947.3867669245</v>
      </c>
      <c r="EU96" s="576">
        <f>+EU95</f>
        <v>20374693.776818182</v>
      </c>
      <c r="EV96" s="580">
        <f>+EV95</f>
        <v>646815.67545454553</v>
      </c>
      <c r="EW96" s="580">
        <f t="shared" si="95"/>
        <v>19727878.101363637</v>
      </c>
      <c r="EX96" s="493">
        <f>+EU$29*EW96+EV96</f>
        <v>2867173.9498728607</v>
      </c>
      <c r="EY96" s="582">
        <f t="shared" si="103"/>
        <v>35562735.419627793</v>
      </c>
      <c r="EZ96" s="579">
        <f>+EY96</f>
        <v>35562735.419627793</v>
      </c>
      <c r="FA96" s="553"/>
      <c r="FD96" s="492"/>
      <c r="FE96" s="476"/>
      <c r="FF96" s="476"/>
      <c r="FG96" s="493"/>
      <c r="FH96" s="492"/>
      <c r="FI96" s="476"/>
      <c r="FJ96" s="476"/>
      <c r="FK96" s="493"/>
      <c r="FL96" s="492"/>
      <c r="FM96" s="476"/>
      <c r="FN96" s="476"/>
      <c r="FO96" s="493"/>
      <c r="FP96" s="492"/>
      <c r="FQ96" s="476"/>
      <c r="FR96" s="476"/>
      <c r="FS96" s="493"/>
      <c r="FT96" s="492"/>
      <c r="FU96" s="476"/>
      <c r="FV96" s="476"/>
      <c r="FW96" s="493"/>
      <c r="FX96" s="492"/>
      <c r="FY96" s="476"/>
      <c r="FZ96" s="476"/>
      <c r="GA96" s="493"/>
      <c r="GB96" s="492"/>
      <c r="GC96" s="476"/>
      <c r="GD96" s="476"/>
      <c r="GE96" s="493"/>
      <c r="GF96" s="492"/>
      <c r="GG96" s="476"/>
      <c r="GH96" s="476"/>
      <c r="GI96" s="493"/>
      <c r="GJ96" s="492"/>
      <c r="GK96" s="476"/>
      <c r="GL96" s="476"/>
      <c r="GM96" s="493"/>
      <c r="GN96" s="492"/>
      <c r="GO96" s="476"/>
      <c r="GP96" s="476"/>
      <c r="GQ96" s="493"/>
      <c r="GR96" s="492"/>
      <c r="GS96" s="476"/>
      <c r="GT96" s="476"/>
      <c r="GU96" s="493"/>
      <c r="GV96" s="492"/>
      <c r="GW96" s="476"/>
      <c r="GX96" s="476"/>
      <c r="GY96" s="493"/>
      <c r="GZ96" s="492"/>
      <c r="HA96" s="476"/>
      <c r="HB96" s="476"/>
      <c r="HC96" s="493"/>
      <c r="HD96" s="576"/>
      <c r="HE96" s="580"/>
      <c r="HF96" s="580"/>
      <c r="HG96" s="918"/>
      <c r="HH96" s="919"/>
      <c r="HI96" s="925"/>
      <c r="HJ96" s="925"/>
      <c r="HK96" s="918"/>
      <c r="HL96" s="919"/>
      <c r="HM96" s="925"/>
      <c r="HN96" s="925"/>
      <c r="HO96" s="918"/>
      <c r="HP96" s="919"/>
      <c r="HQ96" s="925"/>
      <c r="HR96" s="925"/>
      <c r="HS96" s="918"/>
      <c r="HT96" s="919"/>
      <c r="HU96" s="925"/>
      <c r="HV96" s="925"/>
      <c r="HW96" s="918"/>
      <c r="HY96" s="492"/>
      <c r="HZ96" s="476"/>
      <c r="IA96" s="476"/>
      <c r="IB96" s="493"/>
      <c r="IC96" s="492"/>
      <c r="ID96" s="476"/>
      <c r="IE96" s="476"/>
      <c r="IF96" s="493"/>
      <c r="IG96" s="492"/>
      <c r="IH96" s="476"/>
      <c r="II96" s="476"/>
      <c r="IJ96" s="493"/>
    </row>
    <row r="97" spans="1:244">
      <c r="A97" s="554" t="s">
        <v>24</v>
      </c>
      <c r="B97" s="574">
        <v>2035</v>
      </c>
      <c r="C97" s="575">
        <f>+E96</f>
        <v>7912807.71761363</v>
      </c>
      <c r="D97" s="575">
        <f>+C$31</f>
        <v>445791.98409090913</v>
      </c>
      <c r="E97" s="575">
        <f t="shared" si="6"/>
        <v>7467015.7335227206</v>
      </c>
      <c r="F97" s="558">
        <f>+C$28*E97+D97</f>
        <v>1286199.1522593352</v>
      </c>
      <c r="G97" s="575">
        <f>+I96</f>
        <v>2027213.1170454524</v>
      </c>
      <c r="H97" s="575">
        <f>+G$31</f>
        <v>115840.74954545456</v>
      </c>
      <c r="I97" s="575">
        <f t="shared" si="7"/>
        <v>1911372.3674999978</v>
      </c>
      <c r="J97" s="558">
        <f>+G$28*I97+H97</f>
        <v>330964.31376596721</v>
      </c>
      <c r="K97" s="576">
        <f>+M96</f>
        <v>5115780.9990340872</v>
      </c>
      <c r="L97" s="575">
        <f>+K$31</f>
        <v>305419.76113636367</v>
      </c>
      <c r="M97" s="575">
        <f t="shared" si="8"/>
        <v>4810361.2378977239</v>
      </c>
      <c r="N97" s="558">
        <f>+K$28*M97+L97</f>
        <v>846822.40579124237</v>
      </c>
      <c r="O97" s="576">
        <f>+Q96</f>
        <v>2247123.9924242385</v>
      </c>
      <c r="P97" s="575">
        <f>+O$31</f>
        <v>119316.31818181818</v>
      </c>
      <c r="Q97" s="575">
        <f t="shared" si="11"/>
        <v>2127807.6742424201</v>
      </c>
      <c r="R97" s="558">
        <f>+O$28*Q97+P97</f>
        <v>358799.51812861732</v>
      </c>
      <c r="S97" s="492">
        <f>+U96</f>
        <v>1001086.2769696937</v>
      </c>
      <c r="T97" s="476">
        <f>+S$31</f>
        <v>58315.705454545445</v>
      </c>
      <c r="U97" s="476">
        <f t="shared" si="12"/>
        <v>942770.57151514827</v>
      </c>
      <c r="V97" s="493">
        <f>+S$28*U97+T97</f>
        <v>164423.84483913798</v>
      </c>
      <c r="W97" s="492">
        <f>+Y96</f>
        <v>13057029.723484855</v>
      </c>
      <c r="X97" s="476">
        <f>+W$31</f>
        <v>693293.61363636365</v>
      </c>
      <c r="Y97" s="476">
        <f t="shared" si="13"/>
        <v>12363736.109848492</v>
      </c>
      <c r="Z97" s="493">
        <f>+W$28*Y97+X97</f>
        <v>2084823.0844277041</v>
      </c>
      <c r="AA97" s="492">
        <f>+AC96</f>
        <v>8528263.1723484863</v>
      </c>
      <c r="AB97" s="476">
        <f>+AA$31</f>
        <v>450833.29545454547</v>
      </c>
      <c r="AC97" s="476">
        <f t="shared" si="14"/>
        <v>8077429.8768939404</v>
      </c>
      <c r="AD97" s="493">
        <f>+AA$28*AC97+AB97</f>
        <v>1359942.1297166287</v>
      </c>
      <c r="AE97" s="492">
        <f>+AG96</f>
        <v>85060.897727272837</v>
      </c>
      <c r="AF97" s="476">
        <f>+AE$31</f>
        <v>4597.886363636364</v>
      </c>
      <c r="AG97" s="476">
        <f t="shared" si="15"/>
        <v>80463.011363636469</v>
      </c>
      <c r="AH97" s="493">
        <f>+AE$28*AG97+AF97</f>
        <v>13653.93953610178</v>
      </c>
      <c r="AI97" s="492">
        <f>+AK96</f>
        <v>5861690.7310606092</v>
      </c>
      <c r="AJ97" s="476">
        <f>+AI$31</f>
        <v>295547.43181818182</v>
      </c>
      <c r="AK97" s="476">
        <f t="shared" si="19"/>
        <v>5566143.2992424276</v>
      </c>
      <c r="AL97" s="493">
        <f>+AI$28*AK97+AJ97</f>
        <v>922012.79558260576</v>
      </c>
      <c r="AM97" s="492">
        <f>+AO96</f>
        <v>2161904.8557954556</v>
      </c>
      <c r="AN97" s="476">
        <f>+AM$31</f>
        <v>110866.91568181818</v>
      </c>
      <c r="AO97" s="476">
        <f t="shared" si="16"/>
        <v>2051037.9401136374</v>
      </c>
      <c r="AP97" s="493">
        <f>+AM$28*AO97+AN97</f>
        <v>341709.7381119926</v>
      </c>
      <c r="AQ97" s="492">
        <f>+AS96</f>
        <v>17872411.686136357</v>
      </c>
      <c r="AR97" s="476">
        <f>+AQ$31</f>
        <v>904932.23727272719</v>
      </c>
      <c r="AS97" s="476">
        <f t="shared" si="17"/>
        <v>16967479.448863629</v>
      </c>
      <c r="AT97" s="493">
        <f>+AQ$28*AS97+AR97</f>
        <v>2814609.6590783177</v>
      </c>
      <c r="AU97" s="575"/>
      <c r="AV97" s="575"/>
      <c r="AW97" s="575"/>
      <c r="AX97" s="558"/>
      <c r="AY97" s="575"/>
      <c r="AZ97" s="575"/>
      <c r="BA97" s="575"/>
      <c r="BB97" s="558"/>
      <c r="BC97" s="575"/>
      <c r="BD97" s="575"/>
      <c r="BE97" s="575"/>
      <c r="BF97" s="558"/>
      <c r="BG97" s="575"/>
      <c r="BH97" s="575"/>
      <c r="BI97" s="575"/>
      <c r="BJ97" s="558"/>
      <c r="BK97" s="575"/>
      <c r="BL97" s="575"/>
      <c r="BM97" s="575"/>
      <c r="BN97" s="558"/>
      <c r="BO97" s="575"/>
      <c r="BP97" s="575"/>
      <c r="BQ97" s="575"/>
      <c r="BR97" s="558"/>
      <c r="BS97" s="492">
        <f>+BU96</f>
        <v>166217.72727272753</v>
      </c>
      <c r="BT97" s="476">
        <f>+BS$31</f>
        <v>8310.886363636364</v>
      </c>
      <c r="BU97" s="476">
        <f t="shared" si="18"/>
        <v>157906.84090909117</v>
      </c>
      <c r="BV97" s="493">
        <f>+BS$28*BU97+BT97</f>
        <v>26083.185999628244</v>
      </c>
      <c r="BW97" s="492">
        <f>+BY96</f>
        <v>11825245.159090925</v>
      </c>
      <c r="BX97" s="476">
        <f>+BW$31</f>
        <v>576841.22727272729</v>
      </c>
      <c r="BY97" s="476">
        <f t="shared" si="20"/>
        <v>11248403.931818198</v>
      </c>
      <c r="BZ97" s="493">
        <f>+BW$28*BY97+BX97</f>
        <v>1842840.8758758726</v>
      </c>
      <c r="CA97" s="492">
        <f>+CC96</f>
        <v>1120431.5200000019</v>
      </c>
      <c r="CB97" s="476">
        <f>+CA$31</f>
        <v>54433.919999999998</v>
      </c>
      <c r="CC97" s="476">
        <f t="shared" si="21"/>
        <v>1065997.600000002</v>
      </c>
      <c r="CD97" s="493">
        <f>+CA$28*CC97+CB97</f>
        <v>174411.17145647894</v>
      </c>
      <c r="CE97" s="492">
        <f>+CG96</f>
        <v>95681.839090909256</v>
      </c>
      <c r="CF97" s="476">
        <f>+CE$31</f>
        <v>4725.0290909090909</v>
      </c>
      <c r="CG97" s="476">
        <f t="shared" si="22"/>
        <v>90956.810000000172</v>
      </c>
      <c r="CH97" s="493">
        <f>+CE$28*CG97+CF97</f>
        <v>14962.15163700974</v>
      </c>
      <c r="CI97" s="492">
        <f>+CK96</f>
        <v>261677.72727272686</v>
      </c>
      <c r="CJ97" s="476">
        <f>+CI$31</f>
        <v>12362.727272727272</v>
      </c>
      <c r="CK97" s="476">
        <f t="shared" si="23"/>
        <v>249314.99999999959</v>
      </c>
      <c r="CL97" s="493">
        <f>+CI$28*CK97+CJ97</f>
        <v>40422.948465412832</v>
      </c>
      <c r="CM97" s="492">
        <f>+CO96</f>
        <v>12455059.958238643</v>
      </c>
      <c r="CN97" s="476">
        <f>+CM$31</f>
        <v>483691.64886363636</v>
      </c>
      <c r="CO97" s="476">
        <f t="shared" si="33"/>
        <v>11971368.309375007</v>
      </c>
      <c r="CP97" s="493">
        <f>+CM$28*CO97+CN97</f>
        <v>1831060.4102304594</v>
      </c>
      <c r="CQ97" s="492">
        <f>+CS96</f>
        <v>51956701.081193164</v>
      </c>
      <c r="CR97" s="476">
        <f>+CQ$31</f>
        <v>2017735.9643181816</v>
      </c>
      <c r="CS97" s="476">
        <f t="shared" si="38"/>
        <v>49938965.116874985</v>
      </c>
      <c r="CT97" s="493">
        <f>+CQ$28*CS97+CR97</f>
        <v>7638330.0212875688</v>
      </c>
      <c r="CU97" s="492">
        <f>+CW96</f>
        <v>17581079.685000025</v>
      </c>
      <c r="CV97" s="476">
        <f>+CU$31</f>
        <v>676195.37250000006</v>
      </c>
      <c r="CW97" s="476">
        <f t="shared" si="39"/>
        <v>16904884.312500026</v>
      </c>
      <c r="CX97" s="493">
        <f>+CU$28*CW97+CV97</f>
        <v>2578827.7574167186</v>
      </c>
      <c r="CY97" s="492">
        <f>+DA96</f>
        <v>19443.682386363664</v>
      </c>
      <c r="CZ97" s="476">
        <f>+CY$31</f>
        <v>733.72386363636497</v>
      </c>
      <c r="DA97" s="476">
        <f t="shared" si="40"/>
        <v>18709.958522727298</v>
      </c>
      <c r="DB97" s="493">
        <f>+CY$28*DA97+CZ97</f>
        <v>2839.5160327946637</v>
      </c>
      <c r="DC97" s="492">
        <f>+DE96</f>
        <v>1168930.1590909108</v>
      </c>
      <c r="DD97" s="476">
        <f>+DC$31</f>
        <v>44530.672727272722</v>
      </c>
      <c r="DE97" s="476">
        <f t="shared" si="41"/>
        <v>1124399.4863636382</v>
      </c>
      <c r="DF97" s="493">
        <f>+DC$28*DE97+DD97</f>
        <v>171081.01384716431</v>
      </c>
      <c r="DG97" s="492">
        <f>+DI96</f>
        <v>652946.06943181739</v>
      </c>
      <c r="DH97" s="476">
        <f>+DG$31</f>
        <v>24639.474318181816</v>
      </c>
      <c r="DI97" s="476">
        <f t="shared" si="42"/>
        <v>628306.59511363553</v>
      </c>
      <c r="DJ97" s="493">
        <f>+DG$28*DI97+DH97</f>
        <v>95354.922789841265</v>
      </c>
      <c r="DK97" s="492">
        <f>+DM96</f>
        <v>14382738.831931822</v>
      </c>
      <c r="DL97" s="476">
        <f>+DK$31</f>
        <v>549658.80886363634</v>
      </c>
      <c r="DM97" s="476">
        <f t="shared" si="43"/>
        <v>13833080.023068186</v>
      </c>
      <c r="DN97" s="493">
        <f>+DK$28*DM97+DL97</f>
        <v>2106561.8641287182</v>
      </c>
      <c r="DO97" s="492">
        <f>+DQ96</f>
        <v>532268.45496212086</v>
      </c>
      <c r="DP97" s="476">
        <f>+DO$31</f>
        <v>19592.703863636354</v>
      </c>
      <c r="DQ97" s="476">
        <f t="shared" si="148"/>
        <v>512675.7510984845</v>
      </c>
      <c r="DR97" s="493">
        <f>+DO$28*DQ97+DP97</f>
        <v>77293.985278511944</v>
      </c>
      <c r="DS97" s="492">
        <f>+DU96</f>
        <v>228133.19999999931</v>
      </c>
      <c r="DT97" s="476">
        <f>+DS$31</f>
        <v>8295.7527272726966</v>
      </c>
      <c r="DU97" s="476">
        <f t="shared" si="58"/>
        <v>219837.44727272663</v>
      </c>
      <c r="DV97" s="493">
        <f>+DS$28*DU97+DT97</f>
        <v>33038.29688589961</v>
      </c>
      <c r="DW97" s="492">
        <f>+DY96</f>
        <v>33293.052897727219</v>
      </c>
      <c r="DX97" s="476">
        <f>+DW$31</f>
        <v>1221.7634090909089</v>
      </c>
      <c r="DY97" s="476">
        <f t="shared" si="59"/>
        <v>32071.28948863631</v>
      </c>
      <c r="DZ97" s="493">
        <f>+DW$28*DY97+DX97</f>
        <v>4831.3636216163804</v>
      </c>
      <c r="EA97" s="492">
        <f>+EC96</f>
        <v>-198775.08607954677</v>
      </c>
      <c r="EB97" s="476">
        <f>+EA$31</f>
        <v>-7120.3015909091364</v>
      </c>
      <c r="EC97" s="476">
        <f t="shared" si="60"/>
        <v>-191654.78448863764</v>
      </c>
      <c r="ED97" s="493">
        <f>+EA$28*EC97+EB97</f>
        <v>-28690.907633015162</v>
      </c>
      <c r="EE97" s="576">
        <f>+EG96</f>
        <v>5662574.2468181886</v>
      </c>
      <c r="EF97" s="580">
        <f>+EE$31</f>
        <v>192495.44181818186</v>
      </c>
      <c r="EG97" s="580">
        <f t="shared" si="69"/>
        <v>5470078.8050000072</v>
      </c>
      <c r="EH97" s="493">
        <f>+EE$28*EG97+EF97</f>
        <v>808148.8169048056</v>
      </c>
      <c r="EI97" s="576">
        <f>+EK96</f>
        <v>229603.34746212111</v>
      </c>
      <c r="EJ97" s="580">
        <f>+EI$31</f>
        <v>7696.2015909090906</v>
      </c>
      <c r="EK97" s="580">
        <f t="shared" si="70"/>
        <v>221907.14587121201</v>
      </c>
      <c r="EL97" s="493">
        <f>+EI$28*EK97+EJ97</f>
        <v>32671.688815439345</v>
      </c>
      <c r="EM97" s="576">
        <f>+EO96</f>
        <v>7838293.7659090888</v>
      </c>
      <c r="EN97" s="580">
        <f>+EM$31</f>
        <v>261276.45886363636</v>
      </c>
      <c r="EO97" s="580">
        <f t="shared" si="71"/>
        <v>7577017.3070454523</v>
      </c>
      <c r="EP97" s="493">
        <f>+EM$28*EO97+EN97</f>
        <v>1114064.2238055873</v>
      </c>
      <c r="EQ97" s="576">
        <f>+ES96</f>
        <v>15267690.180227257</v>
      </c>
      <c r="ER97" s="580">
        <f>+EQ$31</f>
        <v>500580.00590909086</v>
      </c>
      <c r="ES97" s="580">
        <f t="shared" si="94"/>
        <v>14767110.174318166</v>
      </c>
      <c r="ET97" s="493">
        <f>+EQ$28*ES97+ER97</f>
        <v>2162607.4726404385</v>
      </c>
      <c r="EU97" s="576">
        <f>+EW96</f>
        <v>19727878.101363637</v>
      </c>
      <c r="EV97" s="580">
        <f>+EU$31</f>
        <v>646815.67545454553</v>
      </c>
      <c r="EW97" s="580">
        <f t="shared" si="95"/>
        <v>19081062.425909091</v>
      </c>
      <c r="EX97" s="493">
        <f>+EU$28*EW97+EV97</f>
        <v>2794375.3179247193</v>
      </c>
      <c r="EY97" s="582">
        <f t="shared" si="103"/>
        <v>34045076.678649329</v>
      </c>
      <c r="EZ97" s="557"/>
      <c r="FA97" s="578">
        <f>+EY97</f>
        <v>34045076.678649329</v>
      </c>
      <c r="FD97" s="492"/>
      <c r="FE97" s="476"/>
      <c r="FF97" s="476"/>
      <c r="FG97" s="493"/>
      <c r="FH97" s="492"/>
      <c r="FI97" s="476"/>
      <c r="FJ97" s="476"/>
      <c r="FK97" s="493"/>
      <c r="FL97" s="492"/>
      <c r="FM97" s="476"/>
      <c r="FN97" s="476"/>
      <c r="FO97" s="493"/>
      <c r="FP97" s="492"/>
      <c r="FQ97" s="476"/>
      <c r="FR97" s="476"/>
      <c r="FS97" s="493"/>
      <c r="FT97" s="492"/>
      <c r="FU97" s="476"/>
      <c r="FV97" s="476"/>
      <c r="FW97" s="493"/>
      <c r="FX97" s="492"/>
      <c r="FY97" s="476"/>
      <c r="FZ97" s="476"/>
      <c r="GA97" s="493"/>
      <c r="GB97" s="492"/>
      <c r="GC97" s="476"/>
      <c r="GD97" s="476"/>
      <c r="GE97" s="493"/>
      <c r="GF97" s="492"/>
      <c r="GG97" s="476"/>
      <c r="GH97" s="476"/>
      <c r="GI97" s="493"/>
      <c r="GJ97" s="492"/>
      <c r="GK97" s="476"/>
      <c r="GL97" s="476"/>
      <c r="GM97" s="493"/>
      <c r="GN97" s="492"/>
      <c r="GO97" s="476"/>
      <c r="GP97" s="476"/>
      <c r="GQ97" s="493"/>
      <c r="GR97" s="492"/>
      <c r="GS97" s="476"/>
      <c r="GT97" s="476"/>
      <c r="GU97" s="493"/>
      <c r="GV97" s="492"/>
      <c r="GW97" s="476"/>
      <c r="GX97" s="476"/>
      <c r="GY97" s="493"/>
      <c r="GZ97" s="492"/>
      <c r="HA97" s="476"/>
      <c r="HB97" s="476"/>
      <c r="HC97" s="493"/>
      <c r="HD97" s="576"/>
      <c r="HE97" s="580"/>
      <c r="HF97" s="580"/>
      <c r="HG97" s="918"/>
      <c r="HH97" s="919"/>
      <c r="HI97" s="925"/>
      <c r="HJ97" s="925"/>
      <c r="HK97" s="918"/>
      <c r="HL97" s="919"/>
      <c r="HM97" s="925"/>
      <c r="HN97" s="925"/>
      <c r="HO97" s="918"/>
      <c r="HP97" s="919"/>
      <c r="HQ97" s="925"/>
      <c r="HR97" s="925"/>
      <c r="HS97" s="918"/>
      <c r="HT97" s="919"/>
      <c r="HU97" s="925"/>
      <c r="HV97" s="925"/>
      <c r="HW97" s="918"/>
      <c r="HY97" s="492"/>
      <c r="HZ97" s="476"/>
      <c r="IA97" s="476"/>
      <c r="IB97" s="493"/>
      <c r="IC97" s="492"/>
      <c r="ID97" s="476"/>
      <c r="IE97" s="476"/>
      <c r="IF97" s="493"/>
      <c r="IG97" s="492"/>
      <c r="IH97" s="476"/>
      <c r="II97" s="476"/>
      <c r="IJ97" s="493"/>
    </row>
    <row r="98" spans="1:244">
      <c r="A98" s="554" t="s">
        <v>23</v>
      </c>
      <c r="B98" s="574">
        <v>2035</v>
      </c>
      <c r="C98" s="575">
        <f>+C97</f>
        <v>7912807.71761363</v>
      </c>
      <c r="D98" s="575">
        <f>+D97</f>
        <v>445791.98409090913</v>
      </c>
      <c r="E98" s="575">
        <f t="shared" si="6"/>
        <v>7467015.7335227206</v>
      </c>
      <c r="F98" s="558">
        <f>+C$29*E98+D98</f>
        <v>1334871.1454454833</v>
      </c>
      <c r="G98" s="575">
        <f>+G97</f>
        <v>2027213.1170454524</v>
      </c>
      <c r="H98" s="575">
        <f>+H97</f>
        <v>115840.74954545456</v>
      </c>
      <c r="I98" s="575">
        <f t="shared" si="7"/>
        <v>1911372.3674999978</v>
      </c>
      <c r="J98" s="558">
        <f>+G$29*I98+H98</f>
        <v>343423.14687508967</v>
      </c>
      <c r="K98" s="576">
        <f>+K97</f>
        <v>5115780.9990340872</v>
      </c>
      <c r="L98" s="575">
        <f>+L97</f>
        <v>305419.76113636367</v>
      </c>
      <c r="M98" s="575">
        <f t="shared" si="8"/>
        <v>4810361.2378977239</v>
      </c>
      <c r="N98" s="558">
        <f>+K$29*M98+L98</f>
        <v>878177.61887091445</v>
      </c>
      <c r="O98" s="576">
        <f>+O97</f>
        <v>2247123.9924242385</v>
      </c>
      <c r="P98" s="575">
        <f>+P97</f>
        <v>119316.31818181818</v>
      </c>
      <c r="Q98" s="575">
        <f t="shared" si="11"/>
        <v>2127807.6742424201</v>
      </c>
      <c r="R98" s="558">
        <f>+O$29*Q98+P98</f>
        <v>372669.13409275858</v>
      </c>
      <c r="S98" s="492">
        <f>+S97</f>
        <v>1001086.2769696937</v>
      </c>
      <c r="T98" s="476">
        <f>+T97</f>
        <v>58315.705454545445</v>
      </c>
      <c r="U98" s="476">
        <f t="shared" si="12"/>
        <v>942770.57151514827</v>
      </c>
      <c r="V98" s="493">
        <f>+S$29*U98+T98</f>
        <v>170569.07400035177</v>
      </c>
      <c r="W98" s="492">
        <f>+W97</f>
        <v>13057029.723484855</v>
      </c>
      <c r="X98" s="476">
        <f>+X97</f>
        <v>693293.61363636365</v>
      </c>
      <c r="Y98" s="476">
        <f t="shared" si="13"/>
        <v>12363736.109848492</v>
      </c>
      <c r="Z98" s="493">
        <f>+W$29*Y98+X98</f>
        <v>2165413.2025109264</v>
      </c>
      <c r="AA98" s="492">
        <f>+AA97</f>
        <v>8528263.1723484863</v>
      </c>
      <c r="AB98" s="476">
        <f>+AB97</f>
        <v>450833.29545454547</v>
      </c>
      <c r="AC98" s="476">
        <f t="shared" si="14"/>
        <v>8077429.8768939404</v>
      </c>
      <c r="AD98" s="493">
        <f>+AA$29*AC98+AB98</f>
        <v>1412592.9645293599</v>
      </c>
      <c r="AE98" s="492">
        <f>+AE97</f>
        <v>85060.897727272837</v>
      </c>
      <c r="AF98" s="476">
        <f>+AF97</f>
        <v>4597.886363636364</v>
      </c>
      <c r="AG98" s="476">
        <f t="shared" si="15"/>
        <v>80463.011363636469</v>
      </c>
      <c r="AH98" s="493">
        <f>+AE$29*AG98+AF98</f>
        <v>14178.41883018521</v>
      </c>
      <c r="AI98" s="492">
        <f>+AI97</f>
        <v>5861690.7310606092</v>
      </c>
      <c r="AJ98" s="476">
        <f>+AJ97</f>
        <v>295547.43181818182</v>
      </c>
      <c r="AK98" s="476">
        <f t="shared" si="19"/>
        <v>5566143.2992424276</v>
      </c>
      <c r="AL98" s="493">
        <f>+AI$29*AK98+AJ98</f>
        <v>958294.39701510221</v>
      </c>
      <c r="AM98" s="492">
        <f>+AM97</f>
        <v>2161904.8557954556</v>
      </c>
      <c r="AN98" s="476">
        <f>+AN97</f>
        <v>110866.91568181818</v>
      </c>
      <c r="AO98" s="476">
        <f t="shared" si="16"/>
        <v>2051037.9401136374</v>
      </c>
      <c r="AP98" s="493">
        <f>+AM$29*AO98+AN98</f>
        <v>355078.9485446919</v>
      </c>
      <c r="AQ98" s="492">
        <f>+AQ97</f>
        <v>17872411.686136357</v>
      </c>
      <c r="AR98" s="476">
        <f>+AR97</f>
        <v>904932.23727272719</v>
      </c>
      <c r="AS98" s="476">
        <f t="shared" si="17"/>
        <v>16967479.448863629</v>
      </c>
      <c r="AT98" s="493">
        <f>+AQ$29*AS98+AR98</f>
        <v>2925208.1998599623</v>
      </c>
      <c r="AU98" s="575"/>
      <c r="AV98" s="575"/>
      <c r="AW98" s="575"/>
      <c r="AX98" s="558"/>
      <c r="AY98" s="575"/>
      <c r="AZ98" s="575"/>
      <c r="BA98" s="575"/>
      <c r="BB98" s="558"/>
      <c r="BC98" s="575"/>
      <c r="BD98" s="575"/>
      <c r="BE98" s="575"/>
      <c r="BF98" s="558"/>
      <c r="BG98" s="575"/>
      <c r="BH98" s="575"/>
      <c r="BI98" s="575"/>
      <c r="BJ98" s="558"/>
      <c r="BK98" s="575"/>
      <c r="BL98" s="575"/>
      <c r="BM98" s="575"/>
      <c r="BN98" s="558"/>
      <c r="BO98" s="575"/>
      <c r="BP98" s="575"/>
      <c r="BQ98" s="575"/>
      <c r="BR98" s="558"/>
      <c r="BS98" s="492">
        <f>+BS97</f>
        <v>166217.72727272753</v>
      </c>
      <c r="BT98" s="476">
        <f>+BT97</f>
        <v>8310.886363636364</v>
      </c>
      <c r="BU98" s="476">
        <f t="shared" si="18"/>
        <v>157906.84090909117</v>
      </c>
      <c r="BV98" s="493">
        <f>+BS$29*BU98+BT98</f>
        <v>27112.464758245183</v>
      </c>
      <c r="BW98" s="492">
        <f>+BW97</f>
        <v>11825245.159090925</v>
      </c>
      <c r="BX98" s="476">
        <f>+BX97</f>
        <v>576841.22727272729</v>
      </c>
      <c r="BY98" s="476">
        <f t="shared" si="20"/>
        <v>11248403.931818198</v>
      </c>
      <c r="BZ98" s="493">
        <f>+BW$29*BY98+BX98</f>
        <v>1842840.8758758726</v>
      </c>
      <c r="CA98" s="492">
        <f>+CA97</f>
        <v>1120431.5200000019</v>
      </c>
      <c r="CB98" s="476">
        <f>+CB97</f>
        <v>54433.919999999998</v>
      </c>
      <c r="CC98" s="476">
        <f t="shared" si="21"/>
        <v>1065997.600000002</v>
      </c>
      <c r="CD98" s="493">
        <f>+CA$29*CC98+CB98</f>
        <v>181359.62714148831</v>
      </c>
      <c r="CE98" s="492">
        <f>+CE97</f>
        <v>95681.839090909256</v>
      </c>
      <c r="CF98" s="476">
        <f>+CF97</f>
        <v>4725.0290909090909</v>
      </c>
      <c r="CG98" s="476">
        <f t="shared" si="22"/>
        <v>90956.810000000172</v>
      </c>
      <c r="CH98" s="493">
        <f>+CE$29*CG98+CF98</f>
        <v>15555.032299719313</v>
      </c>
      <c r="CI98" s="492">
        <f>+CI97</f>
        <v>261677.72727272686</v>
      </c>
      <c r="CJ98" s="476">
        <f>+CJ97</f>
        <v>12362.727272727272</v>
      </c>
      <c r="CK98" s="476">
        <f t="shared" si="23"/>
        <v>249314.99999999959</v>
      </c>
      <c r="CL98" s="493">
        <f>+CI$29*CK98+CJ98</f>
        <v>40422.948465412832</v>
      </c>
      <c r="CM98" s="492">
        <f>+CM97</f>
        <v>12455059.958238643</v>
      </c>
      <c r="CN98" s="476">
        <f>+CN97</f>
        <v>483691.64886363636</v>
      </c>
      <c r="CO98" s="476">
        <f t="shared" si="33"/>
        <v>11971368.309375007</v>
      </c>
      <c r="CP98" s="493">
        <f>+CM$29*CO98+CN98</f>
        <v>1831060.4102304594</v>
      </c>
      <c r="CQ98" s="492">
        <f>+CQ97</f>
        <v>51956701.081193164</v>
      </c>
      <c r="CR98" s="476">
        <f>+CR97</f>
        <v>2017735.9643181816</v>
      </c>
      <c r="CS98" s="476">
        <f t="shared" si="38"/>
        <v>49938965.116874985</v>
      </c>
      <c r="CT98" s="493">
        <f>+CQ$29*CS98+CR98</f>
        <v>7638330.0212875688</v>
      </c>
      <c r="CU98" s="492">
        <f>+CU97</f>
        <v>17581079.685000025</v>
      </c>
      <c r="CV98" s="476">
        <f>+CV97</f>
        <v>676195.37250000006</v>
      </c>
      <c r="CW98" s="476">
        <f t="shared" si="39"/>
        <v>16904884.312500026</v>
      </c>
      <c r="CX98" s="493">
        <f>+CU$29*CW98+CV98</f>
        <v>2578827.7574167186</v>
      </c>
      <c r="CY98" s="492">
        <f>+CY97</f>
        <v>19443.682386363664</v>
      </c>
      <c r="CZ98" s="476">
        <f>+CZ97</f>
        <v>733.72386363636497</v>
      </c>
      <c r="DA98" s="476">
        <f t="shared" si="40"/>
        <v>18709.958522727298</v>
      </c>
      <c r="DB98" s="493">
        <f>+CY$29*DA98+CZ98</f>
        <v>2839.5160327946637</v>
      </c>
      <c r="DC98" s="492">
        <f>+DC97</f>
        <v>1168930.1590909108</v>
      </c>
      <c r="DD98" s="476">
        <f>+DD97</f>
        <v>44530.672727272722</v>
      </c>
      <c r="DE98" s="476">
        <f t="shared" si="41"/>
        <v>1124399.4863636382</v>
      </c>
      <c r="DF98" s="493">
        <f>+DC$29*DE98+DD98</f>
        <v>171081.01384716431</v>
      </c>
      <c r="DG98" s="492">
        <f>+DG97</f>
        <v>652946.06943181739</v>
      </c>
      <c r="DH98" s="476">
        <f>+DH97</f>
        <v>24639.474318181816</v>
      </c>
      <c r="DI98" s="476">
        <f t="shared" si="42"/>
        <v>628306.59511363553</v>
      </c>
      <c r="DJ98" s="493">
        <f>+DG$29*DI98+DH98</f>
        <v>95354.922789841265</v>
      </c>
      <c r="DK98" s="492">
        <f>+DK97</f>
        <v>14382738.831931822</v>
      </c>
      <c r="DL98" s="476">
        <f>+DL97</f>
        <v>549658.80886363634</v>
      </c>
      <c r="DM98" s="476">
        <f t="shared" si="43"/>
        <v>13833080.023068186</v>
      </c>
      <c r="DN98" s="493">
        <f>+DK$29*DM98+DL98</f>
        <v>2106561.8641287182</v>
      </c>
      <c r="DO98" s="492">
        <f>+DO97</f>
        <v>532268.45496212086</v>
      </c>
      <c r="DP98" s="476">
        <f>+DP97</f>
        <v>19592.703863636354</v>
      </c>
      <c r="DQ98" s="476">
        <f t="shared" si="148"/>
        <v>512675.7510984845</v>
      </c>
      <c r="DR98" s="493">
        <f>+DO$29*DQ98+DP98</f>
        <v>77293.985278511944</v>
      </c>
      <c r="DS98" s="492">
        <f>+DS97</f>
        <v>228133.19999999931</v>
      </c>
      <c r="DT98" s="476">
        <f>+DT97</f>
        <v>8295.7527272726966</v>
      </c>
      <c r="DU98" s="476">
        <f t="shared" si="58"/>
        <v>219837.44727272663</v>
      </c>
      <c r="DV98" s="493">
        <f>+DS$29*DU98+DT98</f>
        <v>33038.29688589961</v>
      </c>
      <c r="DW98" s="492">
        <f>+DW97</f>
        <v>33293.052897727219</v>
      </c>
      <c r="DX98" s="476">
        <f>+DX97</f>
        <v>1221.7634090909089</v>
      </c>
      <c r="DY98" s="476">
        <f t="shared" si="59"/>
        <v>32071.28948863631</v>
      </c>
      <c r="DZ98" s="493">
        <f>+DW$29*DY98+DX98</f>
        <v>4831.3636216163804</v>
      </c>
      <c r="EA98" s="492">
        <f>+EA97</f>
        <v>-198775.08607954677</v>
      </c>
      <c r="EB98" s="476">
        <f>+EB97</f>
        <v>-7120.3015909091364</v>
      </c>
      <c r="EC98" s="476">
        <f t="shared" si="60"/>
        <v>-191654.78448863764</v>
      </c>
      <c r="ED98" s="493">
        <f>+EA$29*EC98+EB98</f>
        <v>-28690.907633015162</v>
      </c>
      <c r="EE98" s="576">
        <f>+EE97</f>
        <v>5662574.2468181886</v>
      </c>
      <c r="EF98" s="580">
        <f>+EF97</f>
        <v>192495.44181818186</v>
      </c>
      <c r="EG98" s="580">
        <f t="shared" si="69"/>
        <v>5470078.8050000072</v>
      </c>
      <c r="EH98" s="493">
        <f>+EE$29*EG98+EF98</f>
        <v>808148.8169048056</v>
      </c>
      <c r="EI98" s="576">
        <f>+EI97</f>
        <v>229603.34746212111</v>
      </c>
      <c r="EJ98" s="580">
        <f>+EJ97</f>
        <v>7696.2015909090906</v>
      </c>
      <c r="EK98" s="580">
        <f t="shared" si="70"/>
        <v>221907.14587121201</v>
      </c>
      <c r="EL98" s="493">
        <f>+EI$29*EK98+EJ98</f>
        <v>32671.688815439345</v>
      </c>
      <c r="EM98" s="576">
        <f>+EM97</f>
        <v>7838293.7659090888</v>
      </c>
      <c r="EN98" s="580">
        <f>+EN97</f>
        <v>261276.45886363636</v>
      </c>
      <c r="EO98" s="580">
        <f t="shared" si="71"/>
        <v>7577017.3070454523</v>
      </c>
      <c r="EP98" s="493">
        <f>+EM$29*EO98+EN98</f>
        <v>1114064.2238055873</v>
      </c>
      <c r="EQ98" s="576">
        <f>+EQ97</f>
        <v>15267690.180227257</v>
      </c>
      <c r="ER98" s="580">
        <f>+ER97</f>
        <v>500580.00590909086</v>
      </c>
      <c r="ES98" s="580">
        <f t="shared" si="94"/>
        <v>14767110.174318166</v>
      </c>
      <c r="ET98" s="493">
        <f>+EQ$29*ES98+ER98</f>
        <v>2162607.4726404385</v>
      </c>
      <c r="EU98" s="576">
        <f>+EU97</f>
        <v>19727878.101363637</v>
      </c>
      <c r="EV98" s="580">
        <f>+EV97</f>
        <v>646815.67545454553</v>
      </c>
      <c r="EW98" s="580">
        <f t="shared" si="95"/>
        <v>19081062.425909091</v>
      </c>
      <c r="EX98" s="493">
        <f>+EU$29*EW98+EV98</f>
        <v>2794375.3179247193</v>
      </c>
      <c r="EY98" s="582">
        <f t="shared" si="103"/>
        <v>34460162.963092841</v>
      </c>
      <c r="EZ98" s="579">
        <f>+EY98</f>
        <v>34460162.963092841</v>
      </c>
      <c r="FA98" s="553"/>
      <c r="FD98" s="492"/>
      <c r="FE98" s="476"/>
      <c r="FF98" s="476"/>
      <c r="FG98" s="493"/>
      <c r="FH98" s="492"/>
      <c r="FI98" s="476"/>
      <c r="FJ98" s="476"/>
      <c r="FK98" s="493"/>
      <c r="FL98" s="492"/>
      <c r="FM98" s="476"/>
      <c r="FN98" s="476"/>
      <c r="FO98" s="493"/>
      <c r="FP98" s="492"/>
      <c r="FQ98" s="476"/>
      <c r="FR98" s="476"/>
      <c r="FS98" s="493"/>
      <c r="FT98" s="492"/>
      <c r="FU98" s="476"/>
      <c r="FV98" s="476"/>
      <c r="FW98" s="493"/>
      <c r="FX98" s="492"/>
      <c r="FY98" s="476"/>
      <c r="FZ98" s="476"/>
      <c r="GA98" s="493"/>
      <c r="GB98" s="492"/>
      <c r="GC98" s="476"/>
      <c r="GD98" s="476"/>
      <c r="GE98" s="493"/>
      <c r="GF98" s="492"/>
      <c r="GG98" s="476"/>
      <c r="GH98" s="476"/>
      <c r="GI98" s="493"/>
      <c r="GJ98" s="492"/>
      <c r="GK98" s="476"/>
      <c r="GL98" s="476"/>
      <c r="GM98" s="493"/>
      <c r="GN98" s="492"/>
      <c r="GO98" s="476"/>
      <c r="GP98" s="476"/>
      <c r="GQ98" s="493"/>
      <c r="GR98" s="492"/>
      <c r="GS98" s="476"/>
      <c r="GT98" s="476"/>
      <c r="GU98" s="493"/>
      <c r="GV98" s="492"/>
      <c r="GW98" s="476"/>
      <c r="GX98" s="476"/>
      <c r="GY98" s="493"/>
      <c r="GZ98" s="492"/>
      <c r="HA98" s="476"/>
      <c r="HB98" s="476"/>
      <c r="HC98" s="493"/>
      <c r="HD98" s="576"/>
      <c r="HE98" s="580"/>
      <c r="HF98" s="580"/>
      <c r="HG98" s="918"/>
      <c r="HH98" s="919"/>
      <c r="HI98" s="925"/>
      <c r="HJ98" s="925"/>
      <c r="HK98" s="918"/>
      <c r="HL98" s="919"/>
      <c r="HM98" s="925"/>
      <c r="HN98" s="925"/>
      <c r="HO98" s="918"/>
      <c r="HP98" s="919"/>
      <c r="HQ98" s="925"/>
      <c r="HR98" s="925"/>
      <c r="HS98" s="918"/>
      <c r="HT98" s="919"/>
      <c r="HU98" s="925"/>
      <c r="HV98" s="925"/>
      <c r="HW98" s="918"/>
      <c r="HY98" s="492"/>
      <c r="HZ98" s="476"/>
      <c r="IA98" s="476"/>
      <c r="IB98" s="493"/>
      <c r="IC98" s="492"/>
      <c r="ID98" s="476"/>
      <c r="IE98" s="476"/>
      <c r="IF98" s="493"/>
      <c r="IG98" s="492"/>
      <c r="IH98" s="476"/>
      <c r="II98" s="476"/>
      <c r="IJ98" s="493"/>
    </row>
    <row r="99" spans="1:244">
      <c r="A99" s="554" t="s">
        <v>24</v>
      </c>
      <c r="B99" s="574">
        <v>2036</v>
      </c>
      <c r="C99" s="575">
        <f>+E98</f>
        <v>7467015.7335227206</v>
      </c>
      <c r="D99" s="575">
        <f>+C$31</f>
        <v>445791.98409090913</v>
      </c>
      <c r="E99" s="575">
        <f t="shared" si="6"/>
        <v>7021223.7494318113</v>
      </c>
      <c r="F99" s="558">
        <f>+C$28*E99+D99</f>
        <v>1236025.5899806232</v>
      </c>
      <c r="G99" s="575">
        <f>+I98</f>
        <v>1911372.3674999978</v>
      </c>
      <c r="H99" s="575">
        <f>+G$31</f>
        <v>115840.74954545456</v>
      </c>
      <c r="I99" s="575">
        <f t="shared" si="7"/>
        <v>1795531.6179545433</v>
      </c>
      <c r="J99" s="558">
        <f>+G$28*I99+H99</f>
        <v>317926.52199502703</v>
      </c>
      <c r="K99" s="576">
        <f>+M98</f>
        <v>4810361.2378977239</v>
      </c>
      <c r="L99" s="575">
        <f>+K$31</f>
        <v>305419.76113636367</v>
      </c>
      <c r="M99" s="575">
        <f t="shared" si="8"/>
        <v>4504941.4767613607</v>
      </c>
      <c r="N99" s="558">
        <f>+K$28*M99+L99</f>
        <v>812447.63470204384</v>
      </c>
      <c r="O99" s="576">
        <f>+Q98</f>
        <v>2127807.6742424201</v>
      </c>
      <c r="P99" s="575">
        <f>+O$31</f>
        <v>119316.31818181818</v>
      </c>
      <c r="Q99" s="575">
        <f t="shared" si="11"/>
        <v>2008491.356060602</v>
      </c>
      <c r="R99" s="558">
        <f>+O$28*Q99+P99</f>
        <v>345370.55364561925</v>
      </c>
      <c r="S99" s="492">
        <f>+U98</f>
        <v>942770.57151514827</v>
      </c>
      <c r="T99" s="476">
        <f>+S$31</f>
        <v>58315.705454545445</v>
      </c>
      <c r="U99" s="476">
        <f t="shared" si="12"/>
        <v>884454.86606060283</v>
      </c>
      <c r="V99" s="493">
        <f>+S$28*U99+T99</f>
        <v>157860.45477411163</v>
      </c>
      <c r="W99" s="492">
        <f>+Y98</f>
        <v>12363736.109848492</v>
      </c>
      <c r="X99" s="476">
        <f>+W$31</f>
        <v>693293.61363636365</v>
      </c>
      <c r="Y99" s="476">
        <f t="shared" si="13"/>
        <v>11670442.496212129</v>
      </c>
      <c r="Z99" s="493">
        <f>+W$28*Y99+X99</f>
        <v>2006793.3944767877</v>
      </c>
      <c r="AA99" s="492">
        <f>+AC98</f>
        <v>8077429.8768939404</v>
      </c>
      <c r="AB99" s="476">
        <f>+AA$31</f>
        <v>450833.29545454547</v>
      </c>
      <c r="AC99" s="476">
        <f t="shared" si="14"/>
        <v>7626596.5814393945</v>
      </c>
      <c r="AD99" s="493">
        <f>+AA$28*AC99+AB99</f>
        <v>1309201.1715252565</v>
      </c>
      <c r="AE99" s="492">
        <f>+AG98</f>
        <v>80463.011363636469</v>
      </c>
      <c r="AF99" s="476">
        <f>+AE$31</f>
        <v>4597.886363636364</v>
      </c>
      <c r="AG99" s="476">
        <f t="shared" si="15"/>
        <v>75865.125000000102</v>
      </c>
      <c r="AH99" s="493">
        <f>+AE$28*AG99+AF99</f>
        <v>13136.450783389471</v>
      </c>
      <c r="AI99" s="492">
        <f>+AK98</f>
        <v>5566143.2992424276</v>
      </c>
      <c r="AJ99" s="476">
        <f>+AI$31</f>
        <v>295547.43181818182</v>
      </c>
      <c r="AK99" s="476">
        <f t="shared" si="19"/>
        <v>5270595.8674242459</v>
      </c>
      <c r="AL99" s="493">
        <f>+AI$28*AK99+AJ99</f>
        <v>888749.14794909675</v>
      </c>
      <c r="AM99" s="492">
        <f>+AO98</f>
        <v>2051037.9401136374</v>
      </c>
      <c r="AN99" s="476">
        <f>+AM$31</f>
        <v>110866.91568181818</v>
      </c>
      <c r="AO99" s="476">
        <f t="shared" si="16"/>
        <v>1940171.0244318191</v>
      </c>
      <c r="AP99" s="493">
        <f>+AM$28*AO99+AN99</f>
        <v>329231.74771036149</v>
      </c>
      <c r="AQ99" s="492">
        <f>+AS98</f>
        <v>16967479.448863629</v>
      </c>
      <c r="AR99" s="476">
        <f>+AQ$31</f>
        <v>904932.23727272719</v>
      </c>
      <c r="AS99" s="476">
        <f t="shared" si="17"/>
        <v>16062547.211590903</v>
      </c>
      <c r="AT99" s="493">
        <f>+AQ$28*AS99+AR99</f>
        <v>2712760.1965820193</v>
      </c>
      <c r="AU99" s="575"/>
      <c r="AV99" s="575"/>
      <c r="AW99" s="575"/>
      <c r="AX99" s="558"/>
      <c r="AY99" s="575"/>
      <c r="AZ99" s="575"/>
      <c r="BA99" s="575"/>
      <c r="BB99" s="558"/>
      <c r="BC99" s="575"/>
      <c r="BD99" s="575"/>
      <c r="BE99" s="575"/>
      <c r="BF99" s="558"/>
      <c r="BG99" s="575"/>
      <c r="BH99" s="575"/>
      <c r="BI99" s="575"/>
      <c r="BJ99" s="558"/>
      <c r="BK99" s="575"/>
      <c r="BL99" s="575"/>
      <c r="BM99" s="575"/>
      <c r="BN99" s="558"/>
      <c r="BO99" s="575"/>
      <c r="BP99" s="575"/>
      <c r="BQ99" s="575"/>
      <c r="BR99" s="558"/>
      <c r="BS99" s="492">
        <f>+BU98</f>
        <v>157906.84090909117</v>
      </c>
      <c r="BT99" s="476">
        <f>+BS$31</f>
        <v>8310.886363636364</v>
      </c>
      <c r="BU99" s="476">
        <f t="shared" si="18"/>
        <v>149595.95454545482</v>
      </c>
      <c r="BV99" s="493">
        <f>+BS$28*BU99+BT99</f>
        <v>25147.801808260254</v>
      </c>
      <c r="BW99" s="492">
        <f>+BY98</f>
        <v>11248403.931818198</v>
      </c>
      <c r="BX99" s="476">
        <f>+BW$31</f>
        <v>576841.22727272729</v>
      </c>
      <c r="BY99" s="476">
        <f t="shared" si="20"/>
        <v>10671562.704545472</v>
      </c>
      <c r="BZ99" s="493">
        <f>+BW$28*BY99+BX99</f>
        <v>1777917.8169731474</v>
      </c>
      <c r="CA99" s="492">
        <f>+CC98</f>
        <v>1065997.600000002</v>
      </c>
      <c r="CB99" s="476">
        <f>+CA$31</f>
        <v>54433.919999999998</v>
      </c>
      <c r="CC99" s="476">
        <f t="shared" si="21"/>
        <v>1011563.6800000019</v>
      </c>
      <c r="CD99" s="493">
        <f>+CA$28*CC99+CB99</f>
        <v>168284.67350976515</v>
      </c>
      <c r="CE99" s="492">
        <f>+CG98</f>
        <v>90956.810000000172</v>
      </c>
      <c r="CF99" s="476">
        <f>+CE$31</f>
        <v>4725.0290909090909</v>
      </c>
      <c r="CG99" s="476">
        <f t="shared" si="22"/>
        <v>86231.780909091089</v>
      </c>
      <c r="CH99" s="493">
        <f>+CE$28*CG99+CF99</f>
        <v>14430.353063186332</v>
      </c>
      <c r="CI99" s="492">
        <f>+CK98</f>
        <v>249314.99999999959</v>
      </c>
      <c r="CJ99" s="476">
        <f>+CI$31</f>
        <v>12362.727272727272</v>
      </c>
      <c r="CK99" s="476">
        <f t="shared" si="23"/>
        <v>236952.27272727233</v>
      </c>
      <c r="CL99" s="493">
        <f>+CI$28*CK99+CJ99</f>
        <v>39031.532538502812</v>
      </c>
      <c r="CM99" s="492">
        <f>+CO98</f>
        <v>11971368.309375007</v>
      </c>
      <c r="CN99" s="476">
        <f>+CM$31</f>
        <v>483691.64886363636</v>
      </c>
      <c r="CO99" s="476">
        <f t="shared" si="33"/>
        <v>11487676.660511371</v>
      </c>
      <c r="CP99" s="493">
        <f>+CM$28*CO99+CN99</f>
        <v>1776621.2683570525</v>
      </c>
      <c r="CQ99" s="492">
        <f>+CS98</f>
        <v>49938965.116874985</v>
      </c>
      <c r="CR99" s="476">
        <f>+CQ$31</f>
        <v>2017735.9643181816</v>
      </c>
      <c r="CS99" s="476">
        <f t="shared" si="38"/>
        <v>47921229.152556807</v>
      </c>
      <c r="CT99" s="493">
        <f>+CQ$28*CS99+CR99</f>
        <v>7411235.3119150689</v>
      </c>
      <c r="CU99" s="492">
        <f>+CW98</f>
        <v>16904884.312500026</v>
      </c>
      <c r="CV99" s="476">
        <f>+CU$31</f>
        <v>676195.37250000006</v>
      </c>
      <c r="CW99" s="476">
        <f t="shared" si="39"/>
        <v>16228688.940000026</v>
      </c>
      <c r="CX99" s="493">
        <f>+CU$28*CW99+CV99</f>
        <v>2502722.4620200503</v>
      </c>
      <c r="CY99" s="492">
        <f>+DA98</f>
        <v>18709.958522727298</v>
      </c>
      <c r="CZ99" s="476">
        <f>+CY$31</f>
        <v>733.72386363636497</v>
      </c>
      <c r="DA99" s="476">
        <f t="shared" si="40"/>
        <v>17976.234659090933</v>
      </c>
      <c r="DB99" s="493">
        <f>+CY$28*DA99+CZ99</f>
        <v>2756.9359477296325</v>
      </c>
      <c r="DC99" s="492">
        <f>+DE98</f>
        <v>1124399.4863636382</v>
      </c>
      <c r="DD99" s="476">
        <f>+DC$31</f>
        <v>44530.672727272722</v>
      </c>
      <c r="DE99" s="476">
        <f t="shared" si="41"/>
        <v>1079868.8136363656</v>
      </c>
      <c r="DF99" s="493">
        <f>+DC$28*DE99+DD99</f>
        <v>166069.11914934687</v>
      </c>
      <c r="DG99" s="492">
        <f>+DI98</f>
        <v>628306.59511363553</v>
      </c>
      <c r="DH99" s="476">
        <f>+DG$31</f>
        <v>24639.474318181816</v>
      </c>
      <c r="DI99" s="476">
        <f t="shared" si="42"/>
        <v>603667.12079545367</v>
      </c>
      <c r="DJ99" s="493">
        <f>+DG$28*DI99+DH99</f>
        <v>92581.767947815388</v>
      </c>
      <c r="DK99" s="492">
        <f>+DM98</f>
        <v>13833080.023068186</v>
      </c>
      <c r="DL99" s="476">
        <f>+DK$31</f>
        <v>549658.80886363634</v>
      </c>
      <c r="DM99" s="476">
        <f t="shared" si="43"/>
        <v>13283421.21420455</v>
      </c>
      <c r="DN99" s="493">
        <f>+DK$28*DM99+DL99</f>
        <v>2044698.1665685163</v>
      </c>
      <c r="DO99" s="492">
        <f>+DQ98</f>
        <v>512675.7510984845</v>
      </c>
      <c r="DP99" s="476">
        <f>+DO$31</f>
        <v>19592.703863636354</v>
      </c>
      <c r="DQ99" s="476">
        <f t="shared" si="148"/>
        <v>493083.04723484814</v>
      </c>
      <c r="DR99" s="493">
        <f>+DO$28*DQ99+DP99</f>
        <v>75088.840765841538</v>
      </c>
      <c r="DS99" s="492">
        <f>+DU98</f>
        <v>219837.44727272663</v>
      </c>
      <c r="DT99" s="476">
        <f>+DS$31</f>
        <v>8295.7527272726966</v>
      </c>
      <c r="DU99" s="476">
        <f t="shared" si="58"/>
        <v>211541.69454545394</v>
      </c>
      <c r="DV99" s="493">
        <f>+DS$28*DU99+DT99</f>
        <v>32104.615974253313</v>
      </c>
      <c r="DW99" s="492">
        <f>+DY98</f>
        <v>32071.28948863631</v>
      </c>
      <c r="DX99" s="476">
        <f>+DW$31</f>
        <v>1221.7634090909089</v>
      </c>
      <c r="DY99" s="476">
        <f t="shared" si="59"/>
        <v>30849.526079545401</v>
      </c>
      <c r="DZ99" s="493">
        <f>+DW$28*DY99+DX99</f>
        <v>4693.8550420915999</v>
      </c>
      <c r="EA99" s="492">
        <f>+EC98</f>
        <v>-191654.78448863764</v>
      </c>
      <c r="EB99" s="476">
        <f>+EA$31</f>
        <v>-7120.3015909091364</v>
      </c>
      <c r="EC99" s="476">
        <f t="shared" si="60"/>
        <v>-184534.48289772851</v>
      </c>
      <c r="ED99" s="493">
        <f>+EA$28*EC99+EB99</f>
        <v>-27889.522888416795</v>
      </c>
      <c r="EE99" s="576">
        <f>+EG98</f>
        <v>5470078.8050000072</v>
      </c>
      <c r="EF99" s="580">
        <f>+EE$31</f>
        <v>192495.44181818186</v>
      </c>
      <c r="EG99" s="580">
        <f t="shared" si="69"/>
        <v>5277583.3631818257</v>
      </c>
      <c r="EH99" s="493">
        <f>+EE$28*EG99+EF99</f>
        <v>786483.59549413272</v>
      </c>
      <c r="EI99" s="576">
        <f>+EK98</f>
        <v>221907.14587121201</v>
      </c>
      <c r="EJ99" s="580">
        <f>+EI$31</f>
        <v>7696.2015909090906</v>
      </c>
      <c r="EK99" s="580">
        <f t="shared" si="70"/>
        <v>214210.94428030291</v>
      </c>
      <c r="EL99" s="493">
        <f>+EI$28*EK99+EJ99</f>
        <v>31805.486946380493</v>
      </c>
      <c r="EM99" s="576">
        <f>+EO98</f>
        <v>7577017.3070454523</v>
      </c>
      <c r="EN99" s="580">
        <f>+EM$31</f>
        <v>261276.45886363636</v>
      </c>
      <c r="EO99" s="580">
        <f t="shared" si="71"/>
        <v>7315740.8481818158</v>
      </c>
      <c r="EP99" s="493">
        <f>+EM$28*EO99+EN99</f>
        <v>1084657.7491524164</v>
      </c>
      <c r="EQ99" s="576">
        <f>+ES98</f>
        <v>14767110.174318166</v>
      </c>
      <c r="ER99" s="580">
        <f>+EQ$31</f>
        <v>500580.00590909086</v>
      </c>
      <c r="ES99" s="580">
        <f t="shared" si="94"/>
        <v>14266530.168409076</v>
      </c>
      <c r="ET99" s="493">
        <f>+EQ$28*ES99+ER99</f>
        <v>2106267.558513952</v>
      </c>
      <c r="EU99" s="576">
        <f>+EW98</f>
        <v>19081062.425909091</v>
      </c>
      <c r="EV99" s="580">
        <f>+EU$31</f>
        <v>646815.67545454553</v>
      </c>
      <c r="EW99" s="580">
        <f t="shared" si="95"/>
        <v>18434246.750454545</v>
      </c>
      <c r="EX99" s="493">
        <f>+EU$28*EW99+EV99</f>
        <v>2721576.6859765779</v>
      </c>
      <c r="EY99" s="582">
        <f t="shared" si="103"/>
        <v>32965788.938900009</v>
      </c>
      <c r="EZ99" s="557"/>
      <c r="FA99" s="578">
        <f>+EY99</f>
        <v>32965788.938900009</v>
      </c>
      <c r="FD99" s="492"/>
      <c r="FE99" s="476"/>
      <c r="FF99" s="476"/>
      <c r="FG99" s="493"/>
      <c r="FH99" s="492"/>
      <c r="FI99" s="476"/>
      <c r="FJ99" s="476"/>
      <c r="FK99" s="493"/>
      <c r="FL99" s="492"/>
      <c r="FM99" s="476"/>
      <c r="FN99" s="476"/>
      <c r="FO99" s="493"/>
      <c r="FP99" s="492"/>
      <c r="FQ99" s="476"/>
      <c r="FR99" s="476"/>
      <c r="FS99" s="493"/>
      <c r="FT99" s="492"/>
      <c r="FU99" s="476"/>
      <c r="FV99" s="476"/>
      <c r="FW99" s="493"/>
      <c r="FX99" s="492"/>
      <c r="FY99" s="476"/>
      <c r="FZ99" s="476"/>
      <c r="GA99" s="493"/>
      <c r="GB99" s="492"/>
      <c r="GC99" s="476"/>
      <c r="GD99" s="476"/>
      <c r="GE99" s="493"/>
      <c r="GF99" s="492"/>
      <c r="GG99" s="476"/>
      <c r="GH99" s="476"/>
      <c r="GI99" s="493"/>
      <c r="GJ99" s="492"/>
      <c r="GK99" s="476"/>
      <c r="GL99" s="476"/>
      <c r="GM99" s="493"/>
      <c r="GN99" s="492"/>
      <c r="GO99" s="476"/>
      <c r="GP99" s="476"/>
      <c r="GQ99" s="493"/>
      <c r="GR99" s="492"/>
      <c r="GS99" s="476"/>
      <c r="GT99" s="476"/>
      <c r="GU99" s="493"/>
      <c r="GV99" s="492"/>
      <c r="GW99" s="476"/>
      <c r="GX99" s="476"/>
      <c r="GY99" s="493"/>
      <c r="GZ99" s="492"/>
      <c r="HA99" s="476"/>
      <c r="HB99" s="476"/>
      <c r="HC99" s="493"/>
      <c r="HD99" s="576"/>
      <c r="HE99" s="580"/>
      <c r="HF99" s="580"/>
      <c r="HG99" s="918"/>
      <c r="HH99" s="919"/>
      <c r="HI99" s="925"/>
      <c r="HJ99" s="925"/>
      <c r="HK99" s="918"/>
      <c r="HL99" s="919"/>
      <c r="HM99" s="925"/>
      <c r="HN99" s="925"/>
      <c r="HO99" s="918"/>
      <c r="HP99" s="919"/>
      <c r="HQ99" s="925"/>
      <c r="HR99" s="925"/>
      <c r="HS99" s="918"/>
      <c r="HT99" s="919"/>
      <c r="HU99" s="925"/>
      <c r="HV99" s="925"/>
      <c r="HW99" s="918"/>
      <c r="HY99" s="492"/>
      <c r="HZ99" s="476"/>
      <c r="IA99" s="476"/>
      <c r="IB99" s="493"/>
      <c r="IC99" s="492"/>
      <c r="ID99" s="476"/>
      <c r="IE99" s="476"/>
      <c r="IF99" s="493"/>
      <c r="IG99" s="492"/>
      <c r="IH99" s="476"/>
      <c r="II99" s="476"/>
      <c r="IJ99" s="493"/>
    </row>
    <row r="100" spans="1:244">
      <c r="A100" s="554" t="s">
        <v>23</v>
      </c>
      <c r="B100" s="574">
        <v>2036</v>
      </c>
      <c r="C100" s="575">
        <f>+C99</f>
        <v>7467015.7335227206</v>
      </c>
      <c r="D100" s="575">
        <f>+D99</f>
        <v>445791.98409090913</v>
      </c>
      <c r="E100" s="575">
        <f t="shared" si="6"/>
        <v>7021223.7494318113</v>
      </c>
      <c r="F100" s="558">
        <f>+C$29*E100+D100</f>
        <v>1281791.7925287921</v>
      </c>
      <c r="G100" s="575">
        <f>+G99</f>
        <v>1911372.3674999978</v>
      </c>
      <c r="H100" s="575">
        <f>+H99</f>
        <v>115840.74954545456</v>
      </c>
      <c r="I100" s="575">
        <f t="shared" si="7"/>
        <v>1795531.6179545433</v>
      </c>
      <c r="J100" s="558">
        <f>+G$29*I100+H100</f>
        <v>329630.27430965722</v>
      </c>
      <c r="K100" s="576">
        <f>+K99</f>
        <v>4810361.2378977239</v>
      </c>
      <c r="L100" s="575">
        <f>+L99</f>
        <v>305419.76113636367</v>
      </c>
      <c r="M100" s="575">
        <f t="shared" si="8"/>
        <v>4504941.4767613607</v>
      </c>
      <c r="N100" s="558">
        <f>+K$29*M100+L100</f>
        <v>841812.04060205398</v>
      </c>
      <c r="O100" s="576">
        <f>+O99</f>
        <v>2127807.6742424201</v>
      </c>
      <c r="P100" s="575">
        <f>+P99</f>
        <v>119316.31818181818</v>
      </c>
      <c r="Q100" s="575">
        <f t="shared" si="11"/>
        <v>2008491.356060602</v>
      </c>
      <c r="R100" s="558">
        <f>+O$29*Q100+P100</f>
        <v>358462.43413513573</v>
      </c>
      <c r="S100" s="492">
        <f>+S99</f>
        <v>942770.57151514827</v>
      </c>
      <c r="T100" s="476">
        <f>+T99</f>
        <v>58315.705454545445</v>
      </c>
      <c r="U100" s="476">
        <f t="shared" si="12"/>
        <v>884454.86606060283</v>
      </c>
      <c r="V100" s="493">
        <f>+S$29*U100+T100</f>
        <v>163625.56666762149</v>
      </c>
      <c r="W100" s="492">
        <f>+W99</f>
        <v>12363736.109848492</v>
      </c>
      <c r="X100" s="476">
        <f>+X99</f>
        <v>693293.61363636365</v>
      </c>
      <c r="Y100" s="476">
        <f t="shared" si="13"/>
        <v>11670442.496212129</v>
      </c>
      <c r="Z100" s="493">
        <f>+W$29*Y100+X100</f>
        <v>2082864.4405179606</v>
      </c>
      <c r="AA100" s="492">
        <f>+AA99</f>
        <v>8077429.8768939404</v>
      </c>
      <c r="AB100" s="476">
        <f>+AB99</f>
        <v>450833.29545454547</v>
      </c>
      <c r="AC100" s="476">
        <f t="shared" si="14"/>
        <v>7626596.5814393945</v>
      </c>
      <c r="AD100" s="493">
        <f>+AA$29*AC100+AB100</f>
        <v>1358913.3550926261</v>
      </c>
      <c r="AE100" s="492">
        <f>+AE99</f>
        <v>80463.011363636469</v>
      </c>
      <c r="AF100" s="476">
        <f>+AF99</f>
        <v>4597.886363636364</v>
      </c>
      <c r="AG100" s="476">
        <f t="shared" si="15"/>
        <v>75865.125000000102</v>
      </c>
      <c r="AH100" s="493">
        <f>+AE$29*AG100+AF100</f>
        <v>13630.959832096705</v>
      </c>
      <c r="AI100" s="492">
        <f>+AI99</f>
        <v>5566143.2992424276</v>
      </c>
      <c r="AJ100" s="476">
        <f>+AJ99</f>
        <v>295547.43181818182</v>
      </c>
      <c r="AK100" s="476">
        <f t="shared" si="19"/>
        <v>5270595.8674242459</v>
      </c>
      <c r="AL100" s="493">
        <f>+AI$29*AK100+AJ100</f>
        <v>923104.29266836308</v>
      </c>
      <c r="AM100" s="492">
        <f>+AM99</f>
        <v>2051037.9401136374</v>
      </c>
      <c r="AN100" s="476">
        <f>+AN99</f>
        <v>110866.91568181818</v>
      </c>
      <c r="AO100" s="476">
        <f t="shared" si="16"/>
        <v>1940171.0244318191</v>
      </c>
      <c r="AP100" s="493">
        <f>+AM$29*AO100+AN100</f>
        <v>341878.29811967164</v>
      </c>
      <c r="AQ100" s="492">
        <f>+AQ99</f>
        <v>16967479.448863629</v>
      </c>
      <c r="AR100" s="476">
        <f>+AR99</f>
        <v>904932.23727272719</v>
      </c>
      <c r="AS100" s="476">
        <f t="shared" si="17"/>
        <v>16062547.211590903</v>
      </c>
      <c r="AT100" s="493">
        <f>+AQ$29*AS100+AR100</f>
        <v>2817460.1485219765</v>
      </c>
      <c r="AU100" s="575"/>
      <c r="AV100" s="575"/>
      <c r="AW100" s="575"/>
      <c r="AX100" s="558"/>
      <c r="AY100" s="575"/>
      <c r="AZ100" s="575"/>
      <c r="BA100" s="575"/>
      <c r="BB100" s="558"/>
      <c r="BC100" s="575"/>
      <c r="BD100" s="575"/>
      <c r="BE100" s="575"/>
      <c r="BF100" s="558"/>
      <c r="BG100" s="575"/>
      <c r="BH100" s="575"/>
      <c r="BI100" s="575"/>
      <c r="BJ100" s="558"/>
      <c r="BK100" s="575"/>
      <c r="BL100" s="575"/>
      <c r="BM100" s="575"/>
      <c r="BN100" s="558"/>
      <c r="BO100" s="575"/>
      <c r="BP100" s="575"/>
      <c r="BQ100" s="575"/>
      <c r="BR100" s="558"/>
      <c r="BS100" s="492">
        <f>+BS99</f>
        <v>157906.84090909117</v>
      </c>
      <c r="BT100" s="476">
        <f>+BT99</f>
        <v>8310.886363636364</v>
      </c>
      <c r="BU100" s="476">
        <f t="shared" si="18"/>
        <v>149595.95454545482</v>
      </c>
      <c r="BV100" s="493">
        <f>+BS$29*BU100+BT100</f>
        <v>26122.908000634197</v>
      </c>
      <c r="BW100" s="492">
        <f>+BW99</f>
        <v>11248403.931818198</v>
      </c>
      <c r="BX100" s="476">
        <f>+BX99</f>
        <v>576841.22727272729</v>
      </c>
      <c r="BY100" s="476">
        <f t="shared" si="20"/>
        <v>10671562.704545472</v>
      </c>
      <c r="BZ100" s="493">
        <f>+BW$29*BY100+BX100</f>
        <v>1777917.8169731474</v>
      </c>
      <c r="CA100" s="492">
        <f>+CA99</f>
        <v>1065997.600000002</v>
      </c>
      <c r="CB100" s="476">
        <f>+CB99</f>
        <v>54433.919999999998</v>
      </c>
      <c r="CC100" s="476">
        <f t="shared" si="21"/>
        <v>1011563.6800000019</v>
      </c>
      <c r="CD100" s="493">
        <f>+CA$29*CC100+CB100</f>
        <v>174878.31443639105</v>
      </c>
      <c r="CE100" s="492">
        <f>+CE99</f>
        <v>90956.810000000172</v>
      </c>
      <c r="CF100" s="476">
        <f>+CF99</f>
        <v>4725.0290909090909</v>
      </c>
      <c r="CG100" s="476">
        <f t="shared" si="22"/>
        <v>86231.780909091089</v>
      </c>
      <c r="CH100" s="493">
        <f>+CE$29*CG100+CF100</f>
        <v>14992.434730430472</v>
      </c>
      <c r="CI100" s="492">
        <f>+CI99</f>
        <v>249314.99999999959</v>
      </c>
      <c r="CJ100" s="476">
        <f>+CJ99</f>
        <v>12362.727272727272</v>
      </c>
      <c r="CK100" s="476">
        <f t="shared" si="23"/>
        <v>236952.27272727233</v>
      </c>
      <c r="CL100" s="493">
        <f>+CI$29*CK100+CJ100</f>
        <v>39031.532538502812</v>
      </c>
      <c r="CM100" s="492">
        <f>+CM99</f>
        <v>11971368.309375007</v>
      </c>
      <c r="CN100" s="476">
        <f>+CN99</f>
        <v>483691.64886363636</v>
      </c>
      <c r="CO100" s="476">
        <f t="shared" si="33"/>
        <v>11487676.660511371</v>
      </c>
      <c r="CP100" s="493">
        <f>+CM$29*CO100+CN100</f>
        <v>1776621.2683570525</v>
      </c>
      <c r="CQ100" s="492">
        <f>+CQ99</f>
        <v>49938965.116874985</v>
      </c>
      <c r="CR100" s="476">
        <f>+CR99</f>
        <v>2017735.9643181816</v>
      </c>
      <c r="CS100" s="476">
        <f t="shared" si="38"/>
        <v>47921229.152556807</v>
      </c>
      <c r="CT100" s="493">
        <f>+CQ$29*CS100+CR100</f>
        <v>7411235.3119150689</v>
      </c>
      <c r="CU100" s="492">
        <f>+CU99</f>
        <v>16904884.312500026</v>
      </c>
      <c r="CV100" s="476">
        <f>+CV99</f>
        <v>676195.37250000006</v>
      </c>
      <c r="CW100" s="476">
        <f t="shared" si="39"/>
        <v>16228688.940000026</v>
      </c>
      <c r="CX100" s="493">
        <f>+CU$29*CW100+CV100</f>
        <v>2502722.4620200503</v>
      </c>
      <c r="CY100" s="492">
        <f>+CY99</f>
        <v>18709.958522727298</v>
      </c>
      <c r="CZ100" s="476">
        <f>+CZ99</f>
        <v>733.72386363636497</v>
      </c>
      <c r="DA100" s="476">
        <f t="shared" si="40"/>
        <v>17976.234659090933</v>
      </c>
      <c r="DB100" s="493">
        <f>+CY$29*DA100+CZ100</f>
        <v>2756.9359477296325</v>
      </c>
      <c r="DC100" s="492">
        <f>+DC99</f>
        <v>1124399.4863636382</v>
      </c>
      <c r="DD100" s="476">
        <f>+DD99</f>
        <v>44530.672727272722</v>
      </c>
      <c r="DE100" s="476">
        <f t="shared" si="41"/>
        <v>1079868.8136363656</v>
      </c>
      <c r="DF100" s="493">
        <f>+DC$29*DE100+DD100</f>
        <v>166069.11914934687</v>
      </c>
      <c r="DG100" s="492">
        <f>+DG99</f>
        <v>628306.59511363553</v>
      </c>
      <c r="DH100" s="476">
        <f>+DH99</f>
        <v>24639.474318181816</v>
      </c>
      <c r="DI100" s="476">
        <f t="shared" si="42"/>
        <v>603667.12079545367</v>
      </c>
      <c r="DJ100" s="493">
        <f>+DG$29*DI100+DH100</f>
        <v>92581.767947815388</v>
      </c>
      <c r="DK100" s="492">
        <f>+DK99</f>
        <v>13833080.023068186</v>
      </c>
      <c r="DL100" s="476">
        <f>+DL99</f>
        <v>549658.80886363634</v>
      </c>
      <c r="DM100" s="476">
        <f t="shared" si="43"/>
        <v>13283421.21420455</v>
      </c>
      <c r="DN100" s="493">
        <f>+DK$29*DM100+DL100</f>
        <v>2044698.1665685163</v>
      </c>
      <c r="DO100" s="492">
        <f>+DO99</f>
        <v>512675.7510984845</v>
      </c>
      <c r="DP100" s="476">
        <f>+DP99</f>
        <v>19592.703863636354</v>
      </c>
      <c r="DQ100" s="476">
        <f t="shared" si="148"/>
        <v>493083.04723484814</v>
      </c>
      <c r="DR100" s="493">
        <f>+DO$29*DQ100+DP100</f>
        <v>75088.840765841538</v>
      </c>
      <c r="DS100" s="492">
        <f>+DS99</f>
        <v>219837.44727272663</v>
      </c>
      <c r="DT100" s="476">
        <f>+DT99</f>
        <v>8295.7527272726966</v>
      </c>
      <c r="DU100" s="476">
        <f t="shared" si="58"/>
        <v>211541.69454545394</v>
      </c>
      <c r="DV100" s="493">
        <f>+DS$29*DU100+DT100</f>
        <v>32104.615974253313</v>
      </c>
      <c r="DW100" s="492">
        <f>+DW99</f>
        <v>32071.28948863631</v>
      </c>
      <c r="DX100" s="476">
        <f>+DX99</f>
        <v>1221.7634090909089</v>
      </c>
      <c r="DY100" s="476">
        <f t="shared" si="59"/>
        <v>30849.526079545401</v>
      </c>
      <c r="DZ100" s="493">
        <f>+DW$29*DY100+DX100</f>
        <v>4693.8550420915999</v>
      </c>
      <c r="EA100" s="492">
        <f>+EA99</f>
        <v>-191654.78448863764</v>
      </c>
      <c r="EB100" s="476">
        <f>+EB99</f>
        <v>-7120.3015909091364</v>
      </c>
      <c r="EC100" s="476">
        <f t="shared" si="60"/>
        <v>-184534.48289772851</v>
      </c>
      <c r="ED100" s="493">
        <f>+EA$29*EC100+EB100</f>
        <v>-27889.522888416795</v>
      </c>
      <c r="EE100" s="576">
        <f>+EE99</f>
        <v>5470078.8050000072</v>
      </c>
      <c r="EF100" s="580">
        <f>+EF99</f>
        <v>192495.44181818186</v>
      </c>
      <c r="EG100" s="580">
        <f t="shared" si="69"/>
        <v>5277583.3631818257</v>
      </c>
      <c r="EH100" s="493">
        <f>+EE$29*EG100+EF100</f>
        <v>786483.59549413272</v>
      </c>
      <c r="EI100" s="576">
        <f>+EI99</f>
        <v>221907.14587121201</v>
      </c>
      <c r="EJ100" s="580">
        <f>+EJ99</f>
        <v>7696.2015909090906</v>
      </c>
      <c r="EK100" s="580">
        <f t="shared" si="70"/>
        <v>214210.94428030291</v>
      </c>
      <c r="EL100" s="493">
        <f>+EI$29*EK100+EJ100</f>
        <v>31805.486946380493</v>
      </c>
      <c r="EM100" s="576">
        <f>+EM99</f>
        <v>7577017.3070454523</v>
      </c>
      <c r="EN100" s="580">
        <f>+EN99</f>
        <v>261276.45886363636</v>
      </c>
      <c r="EO100" s="580">
        <f t="shared" si="71"/>
        <v>7315740.8481818158</v>
      </c>
      <c r="EP100" s="493">
        <f>+EM$29*EO100+EN100</f>
        <v>1084657.7491524164</v>
      </c>
      <c r="EQ100" s="576">
        <f>+EQ99</f>
        <v>14767110.174318166</v>
      </c>
      <c r="ER100" s="580">
        <f>+ER99</f>
        <v>500580.00590909086</v>
      </c>
      <c r="ES100" s="580">
        <f t="shared" si="94"/>
        <v>14266530.168409076</v>
      </c>
      <c r="ET100" s="493">
        <f>+EQ$29*ES100+ER100</f>
        <v>2106267.558513952</v>
      </c>
      <c r="EU100" s="576">
        <f>+EU99</f>
        <v>19081062.425909091</v>
      </c>
      <c r="EV100" s="580">
        <f>+EV99</f>
        <v>646815.67545454553</v>
      </c>
      <c r="EW100" s="580">
        <f t="shared" si="95"/>
        <v>18434246.750454545</v>
      </c>
      <c r="EX100" s="493">
        <f>+EU$29*EW100+EV100</f>
        <v>2721576.6859765779</v>
      </c>
      <c r="EY100" s="582">
        <f t="shared" si="103"/>
        <v>33357590.506557874</v>
      </c>
      <c r="EZ100" s="579">
        <f>+EY100</f>
        <v>33357590.506557874</v>
      </c>
      <c r="FA100" s="553"/>
      <c r="FD100" s="492"/>
      <c r="FE100" s="476"/>
      <c r="FF100" s="476"/>
      <c r="FG100" s="493"/>
      <c r="FH100" s="492"/>
      <c r="FI100" s="476"/>
      <c r="FJ100" s="476"/>
      <c r="FK100" s="493"/>
      <c r="FL100" s="492"/>
      <c r="FM100" s="476"/>
      <c r="FN100" s="476"/>
      <c r="FO100" s="493"/>
      <c r="FP100" s="492"/>
      <c r="FQ100" s="476"/>
      <c r="FR100" s="476"/>
      <c r="FS100" s="493"/>
      <c r="FT100" s="492"/>
      <c r="FU100" s="476"/>
      <c r="FV100" s="476"/>
      <c r="FW100" s="493"/>
      <c r="FX100" s="492"/>
      <c r="FY100" s="476"/>
      <c r="FZ100" s="476"/>
      <c r="GA100" s="493"/>
      <c r="GB100" s="492"/>
      <c r="GC100" s="476"/>
      <c r="GD100" s="476"/>
      <c r="GE100" s="493"/>
      <c r="GF100" s="492"/>
      <c r="GG100" s="476"/>
      <c r="GH100" s="476"/>
      <c r="GI100" s="493"/>
      <c r="GJ100" s="492"/>
      <c r="GK100" s="476"/>
      <c r="GL100" s="476"/>
      <c r="GM100" s="493"/>
      <c r="GN100" s="492"/>
      <c r="GO100" s="476"/>
      <c r="GP100" s="476"/>
      <c r="GQ100" s="493"/>
      <c r="GR100" s="492"/>
      <c r="GS100" s="476"/>
      <c r="GT100" s="476"/>
      <c r="GU100" s="493"/>
      <c r="GV100" s="492"/>
      <c r="GW100" s="476"/>
      <c r="GX100" s="476"/>
      <c r="GY100" s="493"/>
      <c r="GZ100" s="492"/>
      <c r="HA100" s="476"/>
      <c r="HB100" s="476"/>
      <c r="HC100" s="493"/>
      <c r="HD100" s="576"/>
      <c r="HE100" s="580"/>
      <c r="HF100" s="580"/>
      <c r="HG100" s="918"/>
      <c r="HH100" s="919"/>
      <c r="HI100" s="925"/>
      <c r="HJ100" s="925"/>
      <c r="HK100" s="918"/>
      <c r="HL100" s="919"/>
      <c r="HM100" s="925"/>
      <c r="HN100" s="925"/>
      <c r="HO100" s="918"/>
      <c r="HP100" s="919"/>
      <c r="HQ100" s="925"/>
      <c r="HR100" s="925"/>
      <c r="HS100" s="918"/>
      <c r="HT100" s="919"/>
      <c r="HU100" s="925"/>
      <c r="HV100" s="925"/>
      <c r="HW100" s="918"/>
      <c r="HY100" s="492"/>
      <c r="HZ100" s="476"/>
      <c r="IA100" s="476"/>
      <c r="IB100" s="493"/>
      <c r="IC100" s="492"/>
      <c r="ID100" s="476"/>
      <c r="IE100" s="476"/>
      <c r="IF100" s="493"/>
      <c r="IG100" s="492"/>
      <c r="IH100" s="476"/>
      <c r="II100" s="476"/>
      <c r="IJ100" s="493"/>
    </row>
    <row r="101" spans="1:244">
      <c r="A101" s="554" t="s">
        <v>24</v>
      </c>
      <c r="B101" s="574">
        <v>2037</v>
      </c>
      <c r="C101" s="575">
        <f>+E100</f>
        <v>7021223.7494318113</v>
      </c>
      <c r="D101" s="575">
        <f>+C$31</f>
        <v>445791.98409090913</v>
      </c>
      <c r="E101" s="575">
        <f t="shared" si="6"/>
        <v>6575431.7653409019</v>
      </c>
      <c r="F101" s="558">
        <f>+C$28*E101+D101</f>
        <v>1185852.0277019111</v>
      </c>
      <c r="G101" s="575">
        <f>+I100</f>
        <v>1795531.6179545433</v>
      </c>
      <c r="H101" s="575">
        <f>+G$31</f>
        <v>115840.74954545456</v>
      </c>
      <c r="I101" s="575">
        <f t="shared" si="7"/>
        <v>1679690.8684090888</v>
      </c>
      <c r="J101" s="558">
        <f>+G$28*I101+H101</f>
        <v>304888.73022408684</v>
      </c>
      <c r="K101" s="576">
        <f>+M100</f>
        <v>4504941.4767613607</v>
      </c>
      <c r="L101" s="575">
        <f>+K$31</f>
        <v>305419.76113636367</v>
      </c>
      <c r="M101" s="575">
        <f t="shared" si="8"/>
        <v>4199521.7156249974</v>
      </c>
      <c r="N101" s="558">
        <f>+K$28*M101+L101</f>
        <v>778072.86361284519</v>
      </c>
      <c r="O101" s="576">
        <f>+Q100</f>
        <v>2008491.356060602</v>
      </c>
      <c r="P101" s="575">
        <f>+O$31</f>
        <v>119316.31818181818</v>
      </c>
      <c r="Q101" s="575">
        <f t="shared" si="11"/>
        <v>1889175.0378787839</v>
      </c>
      <c r="R101" s="558">
        <f>+O$28*Q101+P101</f>
        <v>331941.58916262118</v>
      </c>
      <c r="S101" s="492">
        <f>+U100</f>
        <v>884454.86606060283</v>
      </c>
      <c r="T101" s="476">
        <f>+S$31</f>
        <v>58315.705454545445</v>
      </c>
      <c r="U101" s="476">
        <f t="shared" si="12"/>
        <v>826139.16060605738</v>
      </c>
      <c r="V101" s="493">
        <f>+S$28*U101+T101</f>
        <v>151297.06470908527</v>
      </c>
      <c r="W101" s="492">
        <f>+Y100</f>
        <v>11670442.496212129</v>
      </c>
      <c r="X101" s="476">
        <f>+W$31</f>
        <v>693293.61363636365</v>
      </c>
      <c r="Y101" s="476">
        <f t="shared" si="13"/>
        <v>10977148.882575765</v>
      </c>
      <c r="Z101" s="493">
        <f>+W$28*Y101+X101</f>
        <v>1928763.7045258717</v>
      </c>
      <c r="AA101" s="492">
        <f>+AC100</f>
        <v>7626596.5814393945</v>
      </c>
      <c r="AB101" s="476">
        <f>+AA$31</f>
        <v>450833.29545454547</v>
      </c>
      <c r="AC101" s="476">
        <f t="shared" si="14"/>
        <v>7175763.2859848486</v>
      </c>
      <c r="AD101" s="493">
        <f>+AA$28*AC101+AB101</f>
        <v>1258460.2133338845</v>
      </c>
      <c r="AE101" s="492">
        <f>+AG100</f>
        <v>75865.125000000102</v>
      </c>
      <c r="AF101" s="476">
        <f>+AE$31</f>
        <v>4597.886363636364</v>
      </c>
      <c r="AG101" s="476">
        <f t="shared" si="15"/>
        <v>71267.238636363734</v>
      </c>
      <c r="AH101" s="493">
        <f>+AE$28*AG101+AF101</f>
        <v>12618.962030677161</v>
      </c>
      <c r="AI101" s="492">
        <f>+AK100</f>
        <v>5270595.8674242459</v>
      </c>
      <c r="AJ101" s="476">
        <f>+AI$31</f>
        <v>295547.43181818182</v>
      </c>
      <c r="AK101" s="476">
        <f t="shared" si="19"/>
        <v>4975048.4356060643</v>
      </c>
      <c r="AL101" s="493">
        <f>+AI$28*AK101+AJ101</f>
        <v>855485.5003155875</v>
      </c>
      <c r="AM101" s="492">
        <f>+AO100</f>
        <v>1940171.0244318191</v>
      </c>
      <c r="AN101" s="476">
        <f>+AM$31</f>
        <v>110866.91568181818</v>
      </c>
      <c r="AO101" s="476">
        <f t="shared" si="16"/>
        <v>1829304.1087500008</v>
      </c>
      <c r="AP101" s="493">
        <f>+AM$28*AO101+AN101</f>
        <v>316753.75730873051</v>
      </c>
      <c r="AQ101" s="492">
        <f>+AS100</f>
        <v>16062547.211590903</v>
      </c>
      <c r="AR101" s="476">
        <f>+AQ$31</f>
        <v>904932.23727272719</v>
      </c>
      <c r="AS101" s="476">
        <f t="shared" si="17"/>
        <v>15157614.974318177</v>
      </c>
      <c r="AT101" s="493">
        <f>+AQ$28*AS101+AR101</f>
        <v>2610910.7340857214</v>
      </c>
      <c r="AU101" s="575"/>
      <c r="AV101" s="575"/>
      <c r="AW101" s="575"/>
      <c r="AX101" s="558"/>
      <c r="AY101" s="575"/>
      <c r="AZ101" s="575"/>
      <c r="BA101" s="575"/>
      <c r="BB101" s="558"/>
      <c r="BC101" s="575"/>
      <c r="BD101" s="575"/>
      <c r="BE101" s="575"/>
      <c r="BF101" s="558"/>
      <c r="BG101" s="575"/>
      <c r="BH101" s="575"/>
      <c r="BI101" s="575"/>
      <c r="BJ101" s="558"/>
      <c r="BK101" s="575"/>
      <c r="BL101" s="575"/>
      <c r="BM101" s="575"/>
      <c r="BN101" s="558"/>
      <c r="BO101" s="575"/>
      <c r="BP101" s="575"/>
      <c r="BQ101" s="575"/>
      <c r="BR101" s="558"/>
      <c r="BS101" s="492">
        <f>+BU100</f>
        <v>149595.95454545482</v>
      </c>
      <c r="BT101" s="476">
        <f>+BS$31</f>
        <v>8310.886363636364</v>
      </c>
      <c r="BU101" s="476">
        <f t="shared" si="18"/>
        <v>141285.06818181847</v>
      </c>
      <c r="BV101" s="493">
        <f>+BS$28*BU101+BT101</f>
        <v>24212.417616892264</v>
      </c>
      <c r="BW101" s="492">
        <f>+BY100</f>
        <v>10671562.704545472</v>
      </c>
      <c r="BX101" s="476">
        <f>+BW$31</f>
        <v>576841.22727272729</v>
      </c>
      <c r="BY101" s="476">
        <f t="shared" si="20"/>
        <v>10094721.477272745</v>
      </c>
      <c r="BZ101" s="493">
        <f>+BW$28*BY101+BX101</f>
        <v>1712994.7580704221</v>
      </c>
      <c r="CA101" s="492">
        <f>+CC100</f>
        <v>1011563.6800000019</v>
      </c>
      <c r="CB101" s="476">
        <f>+CA$31</f>
        <v>54433.919999999998</v>
      </c>
      <c r="CC101" s="476">
        <f t="shared" si="21"/>
        <v>957129.76000000187</v>
      </c>
      <c r="CD101" s="493">
        <f>+CA$28*CC101+CB101</f>
        <v>162158.17556305134</v>
      </c>
      <c r="CE101" s="492">
        <f>+CG100</f>
        <v>86231.780909091089</v>
      </c>
      <c r="CF101" s="476">
        <f>+CE$31</f>
        <v>4725.0290909090909</v>
      </c>
      <c r="CG101" s="476">
        <f t="shared" si="22"/>
        <v>81506.751818182005</v>
      </c>
      <c r="CH101" s="493">
        <f>+CE$28*CG101+CF101</f>
        <v>13898.554489362923</v>
      </c>
      <c r="CI101" s="492">
        <f>+CK100</f>
        <v>236952.27272727233</v>
      </c>
      <c r="CJ101" s="476">
        <f>+CI$31</f>
        <v>12362.727272727272</v>
      </c>
      <c r="CK101" s="476">
        <f t="shared" si="23"/>
        <v>224589.54545454506</v>
      </c>
      <c r="CL101" s="493">
        <f>+CI$28*CK101+CJ101</f>
        <v>37640.116611592777</v>
      </c>
      <c r="CM101" s="492">
        <f>+CO100</f>
        <v>11487676.660511371</v>
      </c>
      <c r="CN101" s="476">
        <f>+CM$31</f>
        <v>483691.64886363636</v>
      </c>
      <c r="CO101" s="476">
        <f t="shared" si="33"/>
        <v>11003985.011647735</v>
      </c>
      <c r="CP101" s="493">
        <f>+CM$28*CO101+CN101</f>
        <v>1722182.1264836455</v>
      </c>
      <c r="CQ101" s="492">
        <f>+CS100</f>
        <v>47921229.152556807</v>
      </c>
      <c r="CR101" s="476">
        <f>+CQ$31</f>
        <v>2017735.9643181816</v>
      </c>
      <c r="CS101" s="476">
        <f t="shared" si="38"/>
        <v>45903493.188238628</v>
      </c>
      <c r="CT101" s="493">
        <f>+CQ$28*CS101+CR101</f>
        <v>7184140.6025425689</v>
      </c>
      <c r="CU101" s="492">
        <f>+CW100</f>
        <v>16228688.940000026</v>
      </c>
      <c r="CV101" s="476">
        <f>+CU$31</f>
        <v>676195.37250000006</v>
      </c>
      <c r="CW101" s="476">
        <f t="shared" si="39"/>
        <v>15552493.567500025</v>
      </c>
      <c r="CX101" s="493">
        <f>+CU$28*CW101+CV101</f>
        <v>2426617.1666233814</v>
      </c>
      <c r="CY101" s="492">
        <f>+DA100</f>
        <v>17976.234659090933</v>
      </c>
      <c r="CZ101" s="476">
        <f>+CY$31</f>
        <v>733.72386363636497</v>
      </c>
      <c r="DA101" s="476">
        <f t="shared" si="40"/>
        <v>17242.510795454567</v>
      </c>
      <c r="DB101" s="493">
        <f>+CY$28*DA101+CZ101</f>
        <v>2674.3558626646009</v>
      </c>
      <c r="DC101" s="492">
        <f>+DE100</f>
        <v>1079868.8136363656</v>
      </c>
      <c r="DD101" s="476">
        <f>+DC$31</f>
        <v>44530.672727272722</v>
      </c>
      <c r="DE101" s="476">
        <f t="shared" si="41"/>
        <v>1035338.1409090929</v>
      </c>
      <c r="DF101" s="493">
        <f>+DC$28*DE101+DD101</f>
        <v>161057.22445152939</v>
      </c>
      <c r="DG101" s="492">
        <f>+DI100</f>
        <v>603667.12079545367</v>
      </c>
      <c r="DH101" s="476">
        <f>+DG$31</f>
        <v>24639.474318181816</v>
      </c>
      <c r="DI101" s="476">
        <f t="shared" si="42"/>
        <v>579027.6464772718</v>
      </c>
      <c r="DJ101" s="493">
        <f>+DG$28*DI101+DH101</f>
        <v>89808.613105789511</v>
      </c>
      <c r="DK101" s="492">
        <f>+DM100</f>
        <v>13283421.21420455</v>
      </c>
      <c r="DL101" s="476">
        <f>+DK$31</f>
        <v>549658.80886363634</v>
      </c>
      <c r="DM101" s="476">
        <f t="shared" si="43"/>
        <v>12733762.405340914</v>
      </c>
      <c r="DN101" s="493">
        <f>+DK$28*DM101+DL101</f>
        <v>1982834.4690083144</v>
      </c>
      <c r="DO101" s="492">
        <f>+DQ100</f>
        <v>493083.04723484814</v>
      </c>
      <c r="DP101" s="476">
        <f>+DO$31</f>
        <v>19592.703863636354</v>
      </c>
      <c r="DQ101" s="476">
        <f t="shared" si="148"/>
        <v>473490.34337121178</v>
      </c>
      <c r="DR101" s="493">
        <f>+DO$28*DQ101+DP101</f>
        <v>72883.696253171132</v>
      </c>
      <c r="DS101" s="492">
        <f>+DU100</f>
        <v>211541.69454545394</v>
      </c>
      <c r="DT101" s="476">
        <f>+DS$31</f>
        <v>8295.7527272726966</v>
      </c>
      <c r="DU101" s="476">
        <f t="shared" si="58"/>
        <v>203245.94181818125</v>
      </c>
      <c r="DV101" s="493">
        <f>+DS$28*DU101+DT101</f>
        <v>31170.935062607015</v>
      </c>
      <c r="DW101" s="492">
        <f>+DY100</f>
        <v>30849.526079545401</v>
      </c>
      <c r="DX101" s="476">
        <f>+DW$31</f>
        <v>1221.7634090909089</v>
      </c>
      <c r="DY101" s="476">
        <f t="shared" si="59"/>
        <v>29627.762670454493</v>
      </c>
      <c r="DZ101" s="493">
        <f>+DW$28*DY101+DX101</f>
        <v>4556.3464625668203</v>
      </c>
      <c r="EA101" s="492">
        <f>+EC100</f>
        <v>-184534.48289772851</v>
      </c>
      <c r="EB101" s="476">
        <f>+EA$31</f>
        <v>-7120.3015909091364</v>
      </c>
      <c r="EC101" s="476">
        <f t="shared" si="60"/>
        <v>-177414.18130681937</v>
      </c>
      <c r="ED101" s="493">
        <f>+EA$28*EC101+EB101</f>
        <v>-27088.138143818429</v>
      </c>
      <c r="EE101" s="576">
        <f>+EG100</f>
        <v>5277583.3631818257</v>
      </c>
      <c r="EF101" s="580">
        <f>+EE$31</f>
        <v>192495.44181818186</v>
      </c>
      <c r="EG101" s="580">
        <f t="shared" si="69"/>
        <v>5085087.9213636443</v>
      </c>
      <c r="EH101" s="493">
        <f>+EE$28*EG101+EF101</f>
        <v>764818.37408345973</v>
      </c>
      <c r="EI101" s="576">
        <f>+EK100</f>
        <v>214210.94428030291</v>
      </c>
      <c r="EJ101" s="580">
        <f>+EI$31</f>
        <v>7696.2015909090906</v>
      </c>
      <c r="EK101" s="580">
        <f t="shared" si="70"/>
        <v>206514.74268939381</v>
      </c>
      <c r="EL101" s="493">
        <f>+EI$28*EK101+EJ101</f>
        <v>30939.285077321638</v>
      </c>
      <c r="EM101" s="576">
        <f>+EO100</f>
        <v>7315740.8481818158</v>
      </c>
      <c r="EN101" s="580">
        <f>+EM$31</f>
        <v>261276.45886363636</v>
      </c>
      <c r="EO101" s="580">
        <f t="shared" si="71"/>
        <v>7054464.3893181793</v>
      </c>
      <c r="EP101" s="493">
        <f>+EM$28*EO101+EN101</f>
        <v>1055251.2744992457</v>
      </c>
      <c r="EQ101" s="576">
        <f>+ES100</f>
        <v>14266530.168409076</v>
      </c>
      <c r="ER101" s="580">
        <f>+EQ$31</f>
        <v>500580.00590909086</v>
      </c>
      <c r="ES101" s="580">
        <f t="shared" si="94"/>
        <v>13765950.162499985</v>
      </c>
      <c r="ET101" s="493">
        <f>+EQ$28*ES101+ER101</f>
        <v>2049927.6443874657</v>
      </c>
      <c r="EU101" s="576">
        <f>+EW100</f>
        <v>18434246.750454545</v>
      </c>
      <c r="EV101" s="580">
        <f>+EU$31</f>
        <v>646815.67545454553</v>
      </c>
      <c r="EW101" s="580">
        <f t="shared" si="95"/>
        <v>17787431.074999999</v>
      </c>
      <c r="EX101" s="493">
        <f>+EU$28*EW101+EV101</f>
        <v>2648778.0540284365</v>
      </c>
      <c r="EY101" s="582">
        <f t="shared" si="103"/>
        <v>31886501.199150689</v>
      </c>
      <c r="EZ101" s="557"/>
      <c r="FA101" s="578">
        <f>+EY101</f>
        <v>31886501.199150689</v>
      </c>
      <c r="FD101" s="492"/>
      <c r="FE101" s="476"/>
      <c r="FF101" s="476"/>
      <c r="FG101" s="493"/>
      <c r="FH101" s="492"/>
      <c r="FI101" s="476"/>
      <c r="FJ101" s="476"/>
      <c r="FK101" s="493"/>
      <c r="FL101" s="492"/>
      <c r="FM101" s="476"/>
      <c r="FN101" s="476"/>
      <c r="FO101" s="493"/>
      <c r="FP101" s="492"/>
      <c r="FQ101" s="476"/>
      <c r="FR101" s="476"/>
      <c r="FS101" s="493"/>
      <c r="FT101" s="492"/>
      <c r="FU101" s="476"/>
      <c r="FV101" s="476"/>
      <c r="FW101" s="493"/>
      <c r="FX101" s="492"/>
      <c r="FY101" s="476"/>
      <c r="FZ101" s="476"/>
      <c r="GA101" s="493"/>
      <c r="GB101" s="492"/>
      <c r="GC101" s="476"/>
      <c r="GD101" s="476"/>
      <c r="GE101" s="493"/>
      <c r="GF101" s="492"/>
      <c r="GG101" s="476"/>
      <c r="GH101" s="476"/>
      <c r="GI101" s="493"/>
      <c r="GJ101" s="492"/>
      <c r="GK101" s="476"/>
      <c r="GL101" s="476"/>
      <c r="GM101" s="493"/>
      <c r="GN101" s="492"/>
      <c r="GO101" s="476"/>
      <c r="GP101" s="476"/>
      <c r="GQ101" s="493"/>
      <c r="GR101" s="492"/>
      <c r="GS101" s="476"/>
      <c r="GT101" s="476"/>
      <c r="GU101" s="493"/>
      <c r="GV101" s="492"/>
      <c r="GW101" s="476"/>
      <c r="GX101" s="476"/>
      <c r="GY101" s="493"/>
      <c r="GZ101" s="492"/>
      <c r="HA101" s="476"/>
      <c r="HB101" s="476"/>
      <c r="HC101" s="493"/>
      <c r="HD101" s="576"/>
      <c r="HE101" s="580"/>
      <c r="HF101" s="580"/>
      <c r="HG101" s="918"/>
      <c r="HH101" s="919"/>
      <c r="HI101" s="925"/>
      <c r="HJ101" s="925"/>
      <c r="HK101" s="918"/>
      <c r="HL101" s="919"/>
      <c r="HM101" s="925"/>
      <c r="HN101" s="925"/>
      <c r="HO101" s="918"/>
      <c r="HP101" s="919"/>
      <c r="HQ101" s="925"/>
      <c r="HR101" s="925"/>
      <c r="HS101" s="918"/>
      <c r="HT101" s="919"/>
      <c r="HU101" s="925"/>
      <c r="HV101" s="925"/>
      <c r="HW101" s="918"/>
      <c r="HY101" s="492"/>
      <c r="HZ101" s="476"/>
      <c r="IA101" s="476"/>
      <c r="IB101" s="493"/>
      <c r="IC101" s="492"/>
      <c r="ID101" s="476"/>
      <c r="IE101" s="476"/>
      <c r="IF101" s="493"/>
      <c r="IG101" s="492"/>
      <c r="IH101" s="476"/>
      <c r="II101" s="476"/>
      <c r="IJ101" s="493"/>
    </row>
    <row r="102" spans="1:244">
      <c r="A102" s="554" t="s">
        <v>23</v>
      </c>
      <c r="B102" s="574">
        <v>2037</v>
      </c>
      <c r="C102" s="575">
        <f>+C101</f>
        <v>7021223.7494318113</v>
      </c>
      <c r="D102" s="575">
        <f>+D101</f>
        <v>445791.98409090913</v>
      </c>
      <c r="E102" s="575">
        <f t="shared" si="6"/>
        <v>6575431.7653409019</v>
      </c>
      <c r="F102" s="558">
        <f>+C$29*E102+D102</f>
        <v>1228712.4396121008</v>
      </c>
      <c r="G102" s="575">
        <f>+G101</f>
        <v>1795531.6179545433</v>
      </c>
      <c r="H102" s="575">
        <f>+H101</f>
        <v>115840.74954545456</v>
      </c>
      <c r="I102" s="575">
        <f t="shared" si="7"/>
        <v>1679690.8684090888</v>
      </c>
      <c r="J102" s="558">
        <f>+G$29*I102+H102</f>
        <v>315837.40174422477</v>
      </c>
      <c r="K102" s="576">
        <f>+K101</f>
        <v>4504941.4767613607</v>
      </c>
      <c r="L102" s="575">
        <f>+L101</f>
        <v>305419.76113636367</v>
      </c>
      <c r="M102" s="575">
        <f t="shared" si="8"/>
        <v>4199521.7156249974</v>
      </c>
      <c r="N102" s="558">
        <f>+K$29*M102+L102</f>
        <v>805446.46233319375</v>
      </c>
      <c r="O102" s="576">
        <f>+O101</f>
        <v>2008491.356060602</v>
      </c>
      <c r="P102" s="575">
        <f>+P101</f>
        <v>119316.31818181818</v>
      </c>
      <c r="Q102" s="575">
        <f t="shared" si="11"/>
        <v>1889175.0378787839</v>
      </c>
      <c r="R102" s="558">
        <f>+O$29*Q102+P102</f>
        <v>344255.73417751287</v>
      </c>
      <c r="S102" s="492">
        <f>+S101</f>
        <v>884454.86606060283</v>
      </c>
      <c r="T102" s="476">
        <f>+T101</f>
        <v>58315.705454545445</v>
      </c>
      <c r="U102" s="476">
        <f t="shared" si="12"/>
        <v>826139.16060605738</v>
      </c>
      <c r="V102" s="493">
        <f>+S$29*U102+T102</f>
        <v>156682.05933489115</v>
      </c>
      <c r="W102" s="492">
        <f>+W101</f>
        <v>11670442.496212129</v>
      </c>
      <c r="X102" s="476">
        <f>+X101</f>
        <v>693293.61363636365</v>
      </c>
      <c r="Y102" s="476">
        <f t="shared" si="13"/>
        <v>10977148.882575765</v>
      </c>
      <c r="Z102" s="493">
        <f>+W$29*Y102+X102</f>
        <v>2000315.6785249943</v>
      </c>
      <c r="AA102" s="492">
        <f>+AA101</f>
        <v>7626596.5814393945</v>
      </c>
      <c r="AB102" s="476">
        <f>+AB101</f>
        <v>450833.29545454547</v>
      </c>
      <c r="AC102" s="476">
        <f t="shared" si="14"/>
        <v>7175763.2859848486</v>
      </c>
      <c r="AD102" s="493">
        <f>+AA$29*AC102+AB102</f>
        <v>1305233.7456558922</v>
      </c>
      <c r="AE102" s="492">
        <f>+AE101</f>
        <v>75865.125000000102</v>
      </c>
      <c r="AF102" s="476">
        <f>+AF101</f>
        <v>4597.886363636364</v>
      </c>
      <c r="AG102" s="476">
        <f t="shared" si="15"/>
        <v>71267.238636363734</v>
      </c>
      <c r="AH102" s="493">
        <f>+AE$29*AG102+AF102</f>
        <v>13083.500834008199</v>
      </c>
      <c r="AI102" s="492">
        <f>+AI101</f>
        <v>5270595.8674242459</v>
      </c>
      <c r="AJ102" s="476">
        <f>+AJ101</f>
        <v>295547.43181818182</v>
      </c>
      <c r="AK102" s="476">
        <f t="shared" si="19"/>
        <v>4975048.4356060643</v>
      </c>
      <c r="AL102" s="493">
        <f>+AI$29*AK102+AJ102</f>
        <v>887914.18832162395</v>
      </c>
      <c r="AM102" s="492">
        <f>+AM101</f>
        <v>1940171.0244318191</v>
      </c>
      <c r="AN102" s="476">
        <f>+AN101</f>
        <v>110866.91568181818</v>
      </c>
      <c r="AO102" s="476">
        <f t="shared" si="16"/>
        <v>1829304.1087500008</v>
      </c>
      <c r="AP102" s="493">
        <f>+AM$29*AO102+AN102</f>
        <v>328677.6476946515</v>
      </c>
      <c r="AQ102" s="492">
        <f>+AQ101</f>
        <v>16062547.211590903</v>
      </c>
      <c r="AR102" s="476">
        <f>+AR101</f>
        <v>904932.23727272719</v>
      </c>
      <c r="AS102" s="476">
        <f t="shared" si="17"/>
        <v>15157614.974318177</v>
      </c>
      <c r="AT102" s="493">
        <f>+AQ$29*AS102+AR102</f>
        <v>2709712.0971839908</v>
      </c>
      <c r="AU102" s="575"/>
      <c r="AV102" s="575"/>
      <c r="AW102" s="575"/>
      <c r="AX102" s="558"/>
      <c r="AY102" s="575"/>
      <c r="AZ102" s="575"/>
      <c r="BA102" s="575"/>
      <c r="BB102" s="558"/>
      <c r="BC102" s="575"/>
      <c r="BD102" s="575"/>
      <c r="BE102" s="575"/>
      <c r="BF102" s="558"/>
      <c r="BG102" s="575"/>
      <c r="BH102" s="575"/>
      <c r="BI102" s="575"/>
      <c r="BJ102" s="558"/>
      <c r="BK102" s="575"/>
      <c r="BL102" s="575"/>
      <c r="BM102" s="575"/>
      <c r="BN102" s="558"/>
      <c r="BO102" s="575"/>
      <c r="BP102" s="575"/>
      <c r="BQ102" s="575"/>
      <c r="BR102" s="558"/>
      <c r="BS102" s="492">
        <f>+BS101</f>
        <v>149595.95454545482</v>
      </c>
      <c r="BT102" s="476">
        <f>+BT101</f>
        <v>8310.886363636364</v>
      </c>
      <c r="BU102" s="476">
        <f t="shared" si="18"/>
        <v>141285.06818181847</v>
      </c>
      <c r="BV102" s="493">
        <f>+BS$29*BU102+BT102</f>
        <v>25133.351243023208</v>
      </c>
      <c r="BW102" s="492">
        <f>+BW101</f>
        <v>10671562.704545472</v>
      </c>
      <c r="BX102" s="476">
        <f>+BX101</f>
        <v>576841.22727272729</v>
      </c>
      <c r="BY102" s="476">
        <f t="shared" si="20"/>
        <v>10094721.477272745</v>
      </c>
      <c r="BZ102" s="493">
        <f>+BW$29*BY102+BX102</f>
        <v>1712994.7580704221</v>
      </c>
      <c r="CA102" s="492">
        <f>+CA101</f>
        <v>1011563.6800000019</v>
      </c>
      <c r="CB102" s="476">
        <f>+CB101</f>
        <v>54433.919999999998</v>
      </c>
      <c r="CC102" s="476">
        <f t="shared" si="21"/>
        <v>957129.76000000187</v>
      </c>
      <c r="CD102" s="493">
        <f>+CA$29*CC102+CB102</f>
        <v>168397.00173129377</v>
      </c>
      <c r="CE102" s="492">
        <f>+CE101</f>
        <v>86231.780909091089</v>
      </c>
      <c r="CF102" s="476">
        <f>+CF101</f>
        <v>4725.0290909090909</v>
      </c>
      <c r="CG102" s="476">
        <f t="shared" si="22"/>
        <v>81506.751818182005</v>
      </c>
      <c r="CH102" s="493">
        <f>+CE$29*CG102+CF102</f>
        <v>14429.837161141631</v>
      </c>
      <c r="CI102" s="492">
        <f>+CI101</f>
        <v>236952.27272727233</v>
      </c>
      <c r="CJ102" s="476">
        <f>+CJ101</f>
        <v>12362.727272727272</v>
      </c>
      <c r="CK102" s="476">
        <f t="shared" si="23"/>
        <v>224589.54545454506</v>
      </c>
      <c r="CL102" s="493">
        <f>+CI$29*CK102+CJ102</f>
        <v>37640.116611592777</v>
      </c>
      <c r="CM102" s="492">
        <f>+CM101</f>
        <v>11487676.660511371</v>
      </c>
      <c r="CN102" s="476">
        <f>+CN101</f>
        <v>483691.64886363636</v>
      </c>
      <c r="CO102" s="476">
        <f t="shared" si="33"/>
        <v>11003985.011647735</v>
      </c>
      <c r="CP102" s="493">
        <f>+CM$29*CO102+CN102</f>
        <v>1722182.1264836455</v>
      </c>
      <c r="CQ102" s="492">
        <f>+CQ101</f>
        <v>47921229.152556807</v>
      </c>
      <c r="CR102" s="476">
        <f>+CR101</f>
        <v>2017735.9643181816</v>
      </c>
      <c r="CS102" s="476">
        <f t="shared" si="38"/>
        <v>45903493.188238628</v>
      </c>
      <c r="CT102" s="493">
        <f>+CQ$29*CS102+CR102</f>
        <v>7184140.6025425689</v>
      </c>
      <c r="CU102" s="492">
        <f>+CU101</f>
        <v>16228688.940000026</v>
      </c>
      <c r="CV102" s="476">
        <f>+CV101</f>
        <v>676195.37250000006</v>
      </c>
      <c r="CW102" s="476">
        <f t="shared" si="39"/>
        <v>15552493.567500025</v>
      </c>
      <c r="CX102" s="493">
        <f>+CU$29*CW102+CV102</f>
        <v>2426617.1666233814</v>
      </c>
      <c r="CY102" s="492">
        <f>+CY101</f>
        <v>17976.234659090933</v>
      </c>
      <c r="CZ102" s="476">
        <f>+CZ101</f>
        <v>733.72386363636497</v>
      </c>
      <c r="DA102" s="476">
        <f t="shared" si="40"/>
        <v>17242.510795454567</v>
      </c>
      <c r="DB102" s="493">
        <f>+CY$29*DA102+CZ102</f>
        <v>2674.3558626646009</v>
      </c>
      <c r="DC102" s="492">
        <f>+DC101</f>
        <v>1079868.8136363656</v>
      </c>
      <c r="DD102" s="476">
        <f>+DD101</f>
        <v>44530.672727272722</v>
      </c>
      <c r="DE102" s="476">
        <f t="shared" si="41"/>
        <v>1035338.1409090929</v>
      </c>
      <c r="DF102" s="493">
        <f>+DC$29*DE102+DD102</f>
        <v>161057.22445152939</v>
      </c>
      <c r="DG102" s="492">
        <f>+DG101</f>
        <v>603667.12079545367</v>
      </c>
      <c r="DH102" s="476">
        <f>+DH101</f>
        <v>24639.474318181816</v>
      </c>
      <c r="DI102" s="476">
        <f t="shared" si="42"/>
        <v>579027.6464772718</v>
      </c>
      <c r="DJ102" s="493">
        <f>+DG$29*DI102+DH102</f>
        <v>89808.613105789511</v>
      </c>
      <c r="DK102" s="492">
        <f>+DK101</f>
        <v>13283421.21420455</v>
      </c>
      <c r="DL102" s="476">
        <f>+DL101</f>
        <v>549658.80886363634</v>
      </c>
      <c r="DM102" s="476">
        <f t="shared" si="43"/>
        <v>12733762.405340914</v>
      </c>
      <c r="DN102" s="493">
        <f>+DK$29*DM102+DL102</f>
        <v>1982834.4690083144</v>
      </c>
      <c r="DO102" s="492">
        <f>+DO101</f>
        <v>493083.04723484814</v>
      </c>
      <c r="DP102" s="476">
        <f>+DP101</f>
        <v>19592.703863636354</v>
      </c>
      <c r="DQ102" s="476">
        <f t="shared" si="148"/>
        <v>473490.34337121178</v>
      </c>
      <c r="DR102" s="493">
        <f>+DO$29*DQ102+DP102</f>
        <v>72883.696253171132</v>
      </c>
      <c r="DS102" s="492">
        <f>+DS101</f>
        <v>211541.69454545394</v>
      </c>
      <c r="DT102" s="476">
        <f>+DT101</f>
        <v>8295.7527272726966</v>
      </c>
      <c r="DU102" s="476">
        <f t="shared" si="58"/>
        <v>203245.94181818125</v>
      </c>
      <c r="DV102" s="493">
        <f>+DS$29*DU102+DT102</f>
        <v>31170.935062607015</v>
      </c>
      <c r="DW102" s="492">
        <f>+DW101</f>
        <v>30849.526079545401</v>
      </c>
      <c r="DX102" s="476">
        <f>+DX101</f>
        <v>1221.7634090909089</v>
      </c>
      <c r="DY102" s="476">
        <f t="shared" si="59"/>
        <v>29627.762670454493</v>
      </c>
      <c r="DZ102" s="493">
        <f>+DW$29*DY102+DX102</f>
        <v>4556.3464625668203</v>
      </c>
      <c r="EA102" s="492">
        <f>+EA101</f>
        <v>-184534.48289772851</v>
      </c>
      <c r="EB102" s="476">
        <f>+EB101</f>
        <v>-7120.3015909091364</v>
      </c>
      <c r="EC102" s="476">
        <f t="shared" si="60"/>
        <v>-177414.18130681937</v>
      </c>
      <c r="ED102" s="493">
        <f>+EA$29*EC102+EB102</f>
        <v>-27088.138143818429</v>
      </c>
      <c r="EE102" s="576">
        <f>+EE101</f>
        <v>5277583.3631818257</v>
      </c>
      <c r="EF102" s="580">
        <f>+EF101</f>
        <v>192495.44181818186</v>
      </c>
      <c r="EG102" s="580">
        <f t="shared" si="69"/>
        <v>5085087.9213636443</v>
      </c>
      <c r="EH102" s="493">
        <f>+EE$29*EG102+EF102</f>
        <v>764818.37408345973</v>
      </c>
      <c r="EI102" s="576">
        <f>+EI101</f>
        <v>214210.94428030291</v>
      </c>
      <c r="EJ102" s="580">
        <f>+EJ101</f>
        <v>7696.2015909090906</v>
      </c>
      <c r="EK102" s="580">
        <f t="shared" si="70"/>
        <v>206514.74268939381</v>
      </c>
      <c r="EL102" s="493">
        <f>+EI$29*EK102+EJ102</f>
        <v>30939.285077321638</v>
      </c>
      <c r="EM102" s="576">
        <f>+EM101</f>
        <v>7315740.8481818158</v>
      </c>
      <c r="EN102" s="580">
        <f>+EN101</f>
        <v>261276.45886363636</v>
      </c>
      <c r="EO102" s="580">
        <f t="shared" si="71"/>
        <v>7054464.3893181793</v>
      </c>
      <c r="EP102" s="493">
        <f>+EM$29*EO102+EN102</f>
        <v>1055251.2744992457</v>
      </c>
      <c r="EQ102" s="576">
        <f>+EQ101</f>
        <v>14266530.168409076</v>
      </c>
      <c r="ER102" s="580">
        <f>+ER101</f>
        <v>500580.00590909086</v>
      </c>
      <c r="ES102" s="580">
        <f t="shared" si="94"/>
        <v>13765950.162499985</v>
      </c>
      <c r="ET102" s="493">
        <f>+EQ$29*ES102+ER102</f>
        <v>2049927.6443874657</v>
      </c>
      <c r="EU102" s="576">
        <f>+EU101</f>
        <v>18434246.750454545</v>
      </c>
      <c r="EV102" s="580">
        <f>+EV101</f>
        <v>646815.67545454553</v>
      </c>
      <c r="EW102" s="580">
        <f t="shared" si="95"/>
        <v>17787431.074999999</v>
      </c>
      <c r="EX102" s="493">
        <f>+EU$29*EW102+EV102</f>
        <v>2648778.0540284365</v>
      </c>
      <c r="EY102" s="582">
        <f t="shared" si="103"/>
        <v>32255018.050022904</v>
      </c>
      <c r="EZ102" s="579">
        <f>+EY102</f>
        <v>32255018.050022904</v>
      </c>
      <c r="FA102" s="553"/>
      <c r="FD102" s="492"/>
      <c r="FE102" s="476"/>
      <c r="FF102" s="476"/>
      <c r="FG102" s="493"/>
      <c r="FH102" s="492"/>
      <c r="FI102" s="476"/>
      <c r="FJ102" s="476"/>
      <c r="FK102" s="493"/>
      <c r="FL102" s="492"/>
      <c r="FM102" s="476"/>
      <c r="FN102" s="476"/>
      <c r="FO102" s="493"/>
      <c r="FP102" s="492"/>
      <c r="FQ102" s="476"/>
      <c r="FR102" s="476"/>
      <c r="FS102" s="493"/>
      <c r="FT102" s="492"/>
      <c r="FU102" s="476"/>
      <c r="FV102" s="476"/>
      <c r="FW102" s="493"/>
      <c r="FX102" s="492"/>
      <c r="FY102" s="476"/>
      <c r="FZ102" s="476"/>
      <c r="GA102" s="493"/>
      <c r="GB102" s="492"/>
      <c r="GC102" s="476"/>
      <c r="GD102" s="476"/>
      <c r="GE102" s="493"/>
      <c r="GF102" s="492"/>
      <c r="GG102" s="476"/>
      <c r="GH102" s="476"/>
      <c r="GI102" s="493"/>
      <c r="GJ102" s="492"/>
      <c r="GK102" s="476"/>
      <c r="GL102" s="476"/>
      <c r="GM102" s="493"/>
      <c r="GN102" s="492"/>
      <c r="GO102" s="476"/>
      <c r="GP102" s="476"/>
      <c r="GQ102" s="493"/>
      <c r="GR102" s="492"/>
      <c r="GS102" s="476"/>
      <c r="GT102" s="476"/>
      <c r="GU102" s="493"/>
      <c r="GV102" s="492"/>
      <c r="GW102" s="476"/>
      <c r="GX102" s="476"/>
      <c r="GY102" s="493"/>
      <c r="GZ102" s="492"/>
      <c r="HA102" s="476"/>
      <c r="HB102" s="476"/>
      <c r="HC102" s="493"/>
      <c r="HD102" s="576"/>
      <c r="HE102" s="580"/>
      <c r="HF102" s="580"/>
      <c r="HG102" s="918"/>
      <c r="HH102" s="919"/>
      <c r="HI102" s="925"/>
      <c r="HJ102" s="925"/>
      <c r="HK102" s="918"/>
      <c r="HL102" s="919"/>
      <c r="HM102" s="925"/>
      <c r="HN102" s="925"/>
      <c r="HO102" s="918"/>
      <c r="HP102" s="919"/>
      <c r="HQ102" s="925"/>
      <c r="HR102" s="925"/>
      <c r="HS102" s="918"/>
      <c r="HT102" s="919"/>
      <c r="HU102" s="925"/>
      <c r="HV102" s="925"/>
      <c r="HW102" s="918"/>
      <c r="HY102" s="492"/>
      <c r="HZ102" s="476"/>
      <c r="IA102" s="476"/>
      <c r="IB102" s="493"/>
      <c r="IC102" s="492"/>
      <c r="ID102" s="476"/>
      <c r="IE102" s="476"/>
      <c r="IF102" s="493"/>
      <c r="IG102" s="492"/>
      <c r="IH102" s="476"/>
      <c r="II102" s="476"/>
      <c r="IJ102" s="493"/>
    </row>
    <row r="103" spans="1:244">
      <c r="A103" s="554" t="s">
        <v>24</v>
      </c>
      <c r="B103" s="574">
        <v>2038</v>
      </c>
      <c r="C103" s="575">
        <f>+E102</f>
        <v>6575431.7653409019</v>
      </c>
      <c r="D103" s="575">
        <f>+C$31</f>
        <v>445791.98409090913</v>
      </c>
      <c r="E103" s="575">
        <f t="shared" si="6"/>
        <v>6129639.7812499925</v>
      </c>
      <c r="F103" s="558">
        <f>+C$28*E103+D103</f>
        <v>1135678.4654231989</v>
      </c>
      <c r="G103" s="575">
        <f>+I102</f>
        <v>1679690.8684090888</v>
      </c>
      <c r="H103" s="575">
        <f>+G$31</f>
        <v>115840.74954545456</v>
      </c>
      <c r="I103" s="575">
        <f t="shared" si="7"/>
        <v>1563850.1188636343</v>
      </c>
      <c r="J103" s="558">
        <f>+G$28*I103+H103</f>
        <v>291850.93845314666</v>
      </c>
      <c r="K103" s="576">
        <f>+M102</f>
        <v>4199521.7156249974</v>
      </c>
      <c r="L103" s="575">
        <f>+K$31</f>
        <v>305419.76113636367</v>
      </c>
      <c r="M103" s="575">
        <f t="shared" si="8"/>
        <v>3894101.9544886337</v>
      </c>
      <c r="N103" s="558">
        <f>+K$28*M103+L103</f>
        <v>743698.09252364654</v>
      </c>
      <c r="O103" s="576">
        <f>+Q102</f>
        <v>1889175.0378787839</v>
      </c>
      <c r="P103" s="575">
        <f>+O$31</f>
        <v>119316.31818181818</v>
      </c>
      <c r="Q103" s="575">
        <f t="shared" si="11"/>
        <v>1769858.7196969658</v>
      </c>
      <c r="R103" s="558">
        <f>+O$28*Q103+P103</f>
        <v>318512.62467962306</v>
      </c>
      <c r="S103" s="492">
        <f>+U102</f>
        <v>826139.16060605738</v>
      </c>
      <c r="T103" s="476">
        <f>+S$31</f>
        <v>58315.705454545445</v>
      </c>
      <c r="U103" s="476">
        <f t="shared" si="12"/>
        <v>767823.45515151194</v>
      </c>
      <c r="V103" s="493">
        <f>+S$28*U103+T103</f>
        <v>144733.67464405889</v>
      </c>
      <c r="W103" s="492">
        <f>+Y102</f>
        <v>10977148.882575765</v>
      </c>
      <c r="X103" s="476">
        <f>+W$31</f>
        <v>693293.61363636365</v>
      </c>
      <c r="Y103" s="476">
        <f t="shared" si="13"/>
        <v>10283855.268939402</v>
      </c>
      <c r="Z103" s="493">
        <f>+W$28*Y103+X103</f>
        <v>1850734.0145749552</v>
      </c>
      <c r="AA103" s="492">
        <f>+AC102</f>
        <v>7175763.2859848486</v>
      </c>
      <c r="AB103" s="476">
        <f>+AA$31</f>
        <v>450833.29545454547</v>
      </c>
      <c r="AC103" s="476">
        <f t="shared" si="14"/>
        <v>6724929.9905303027</v>
      </c>
      <c r="AD103" s="493">
        <f>+AA$28*AC103+AB103</f>
        <v>1207719.2551425123</v>
      </c>
      <c r="AE103" s="492">
        <f>+AG102</f>
        <v>71267.238636363734</v>
      </c>
      <c r="AF103" s="476">
        <f>+AE$31</f>
        <v>4597.886363636364</v>
      </c>
      <c r="AG103" s="476">
        <f t="shared" si="15"/>
        <v>66669.352272727367</v>
      </c>
      <c r="AH103" s="493">
        <f>+AE$28*AG103+AF103</f>
        <v>12101.473277964851</v>
      </c>
      <c r="AI103" s="492">
        <f>+AK102</f>
        <v>4975048.4356060643</v>
      </c>
      <c r="AJ103" s="476">
        <f>+AI$31</f>
        <v>295547.43181818182</v>
      </c>
      <c r="AK103" s="476">
        <f t="shared" si="19"/>
        <v>4679501.0037878826</v>
      </c>
      <c r="AL103" s="493">
        <f>+AI$28*AK103+AJ103</f>
        <v>822221.85268207826</v>
      </c>
      <c r="AM103" s="492">
        <f>+AO102</f>
        <v>1829304.1087500008</v>
      </c>
      <c r="AN103" s="476">
        <f>+AM$31</f>
        <v>110866.91568181818</v>
      </c>
      <c r="AO103" s="476">
        <f t="shared" si="16"/>
        <v>1718437.1930681826</v>
      </c>
      <c r="AP103" s="493">
        <f>+AM$28*AO103+AN103</f>
        <v>304275.7669070994</v>
      </c>
      <c r="AQ103" s="492">
        <f>+AS102</f>
        <v>15157614.974318177</v>
      </c>
      <c r="AR103" s="476">
        <f>+AQ$31</f>
        <v>904932.23727272719</v>
      </c>
      <c r="AS103" s="476">
        <f t="shared" si="17"/>
        <v>14252682.73704545</v>
      </c>
      <c r="AT103" s="493">
        <f>+AQ$28*AS103+AR103</f>
        <v>2509061.2715894235</v>
      </c>
      <c r="AU103" s="575"/>
      <c r="AV103" s="575"/>
      <c r="AW103" s="575"/>
      <c r="AX103" s="558"/>
      <c r="AY103" s="575"/>
      <c r="AZ103" s="575"/>
      <c r="BA103" s="575"/>
      <c r="BB103" s="558"/>
      <c r="BC103" s="575"/>
      <c r="BD103" s="575"/>
      <c r="BE103" s="575"/>
      <c r="BF103" s="558"/>
      <c r="BG103" s="575"/>
      <c r="BH103" s="575"/>
      <c r="BI103" s="575"/>
      <c r="BJ103" s="558"/>
      <c r="BK103" s="575"/>
      <c r="BL103" s="575"/>
      <c r="BM103" s="575"/>
      <c r="BN103" s="558"/>
      <c r="BO103" s="575"/>
      <c r="BP103" s="575"/>
      <c r="BQ103" s="575"/>
      <c r="BR103" s="558"/>
      <c r="BS103" s="492">
        <f>+BU102</f>
        <v>141285.06818181847</v>
      </c>
      <c r="BT103" s="476">
        <f>+BS$31</f>
        <v>8310.886363636364</v>
      </c>
      <c r="BU103" s="476">
        <f t="shared" si="18"/>
        <v>132974.18181818211</v>
      </c>
      <c r="BV103" s="493">
        <f>+BS$28*BU103+BT103</f>
        <v>23277.033425524271</v>
      </c>
      <c r="BW103" s="492">
        <f>+BY102</f>
        <v>10094721.477272745</v>
      </c>
      <c r="BX103" s="476">
        <f>+BW$31</f>
        <v>576841.22727272729</v>
      </c>
      <c r="BY103" s="476">
        <f t="shared" si="20"/>
        <v>9517880.2500000186</v>
      </c>
      <c r="BZ103" s="493">
        <f>+BW$28*BY103+BX103</f>
        <v>1648071.699167697</v>
      </c>
      <c r="CA103" s="492">
        <f>+CC102</f>
        <v>957129.76000000187</v>
      </c>
      <c r="CB103" s="476">
        <f>+CA$31</f>
        <v>54433.919999999998</v>
      </c>
      <c r="CC103" s="476">
        <f t="shared" si="21"/>
        <v>902695.84000000183</v>
      </c>
      <c r="CD103" s="493">
        <f>+CA$28*CC103+CB103</f>
        <v>156031.67761633755</v>
      </c>
      <c r="CE103" s="492">
        <f>+CG102</f>
        <v>81506.751818182005</v>
      </c>
      <c r="CF103" s="476">
        <f>+CE$31</f>
        <v>4725.0290909090909</v>
      </c>
      <c r="CG103" s="476">
        <f t="shared" si="22"/>
        <v>76781.722727272921</v>
      </c>
      <c r="CH103" s="493">
        <f>+CE$28*CG103+CF103</f>
        <v>13366.755915539514</v>
      </c>
      <c r="CI103" s="492">
        <f>+CK102</f>
        <v>224589.54545454506</v>
      </c>
      <c r="CJ103" s="476">
        <f>+CI$31</f>
        <v>12362.727272727272</v>
      </c>
      <c r="CK103" s="476">
        <f t="shared" si="23"/>
        <v>212226.8181818178</v>
      </c>
      <c r="CL103" s="493">
        <f>+CI$28*CK103+CJ103</f>
        <v>36248.70068468275</v>
      </c>
      <c r="CM103" s="492">
        <f>+CO102</f>
        <v>11003985.011647735</v>
      </c>
      <c r="CN103" s="476">
        <f>+CM$31</f>
        <v>483691.64886363636</v>
      </c>
      <c r="CO103" s="476">
        <f t="shared" si="33"/>
        <v>10520293.362784099</v>
      </c>
      <c r="CP103" s="493">
        <f>+CM$28*CO103+CN103</f>
        <v>1667742.9846102386</v>
      </c>
      <c r="CQ103" s="492">
        <f>+CS102</f>
        <v>45903493.188238628</v>
      </c>
      <c r="CR103" s="476">
        <f>+CQ$31</f>
        <v>2017735.9643181816</v>
      </c>
      <c r="CS103" s="476">
        <f t="shared" si="38"/>
        <v>43885757.22392045</v>
      </c>
      <c r="CT103" s="493">
        <f>+CQ$28*CS103+CR103</f>
        <v>6957045.893170069</v>
      </c>
      <c r="CU103" s="492">
        <f>+CW102</f>
        <v>15552493.567500025</v>
      </c>
      <c r="CV103" s="476">
        <f>+CU$31</f>
        <v>676195.37250000006</v>
      </c>
      <c r="CW103" s="476">
        <f t="shared" si="39"/>
        <v>14876298.195000025</v>
      </c>
      <c r="CX103" s="493">
        <f>+CU$28*CW103+CV103</f>
        <v>2350511.8712267131</v>
      </c>
      <c r="CY103" s="492">
        <f>+DA102</f>
        <v>17242.510795454567</v>
      </c>
      <c r="CZ103" s="476">
        <f>+CY$31</f>
        <v>733.72386363636497</v>
      </c>
      <c r="DA103" s="476">
        <f t="shared" si="40"/>
        <v>16508.786931818202</v>
      </c>
      <c r="DB103" s="493">
        <f>+CY$28*DA103+CZ103</f>
        <v>2591.7757775995697</v>
      </c>
      <c r="DC103" s="492">
        <f>+DE102</f>
        <v>1035338.1409090929</v>
      </c>
      <c r="DD103" s="476">
        <f>+DC$31</f>
        <v>44530.672727272722</v>
      </c>
      <c r="DE103" s="476">
        <f t="shared" si="41"/>
        <v>990807.46818182012</v>
      </c>
      <c r="DF103" s="493">
        <f>+DC$28*DE103+DD103</f>
        <v>156045.32975371191</v>
      </c>
      <c r="DG103" s="492">
        <f>+DI102</f>
        <v>579027.6464772718</v>
      </c>
      <c r="DH103" s="476">
        <f>+DG$31</f>
        <v>24639.474318181816</v>
      </c>
      <c r="DI103" s="476">
        <f t="shared" si="42"/>
        <v>554388.17215908994</v>
      </c>
      <c r="DJ103" s="493">
        <f>+DG$28*DI103+DH103</f>
        <v>87035.458263763649</v>
      </c>
      <c r="DK103" s="492">
        <f>+DM102</f>
        <v>12733762.405340914</v>
      </c>
      <c r="DL103" s="476">
        <f>+DK$31</f>
        <v>549658.80886363634</v>
      </c>
      <c r="DM103" s="476">
        <f t="shared" si="43"/>
        <v>12184103.596477278</v>
      </c>
      <c r="DN103" s="493">
        <f>+DK$28*DM103+DL103</f>
        <v>1920970.7714481126</v>
      </c>
      <c r="DO103" s="492">
        <f>+DQ102</f>
        <v>473490.34337121178</v>
      </c>
      <c r="DP103" s="476">
        <f>+DO$31</f>
        <v>19592.703863636354</v>
      </c>
      <c r="DQ103" s="476">
        <f t="shared" si="148"/>
        <v>453897.63950757543</v>
      </c>
      <c r="DR103" s="493">
        <f>+DO$28*DQ103+DP103</f>
        <v>70678.551740500727</v>
      </c>
      <c r="DS103" s="492">
        <f>+DU102</f>
        <v>203245.94181818125</v>
      </c>
      <c r="DT103" s="476">
        <f>+DS$31</f>
        <v>8295.7527272726966</v>
      </c>
      <c r="DU103" s="476">
        <f t="shared" si="58"/>
        <v>194950.18909090856</v>
      </c>
      <c r="DV103" s="493">
        <f>+DS$28*DU103+DT103</f>
        <v>30237.254150960718</v>
      </c>
      <c r="DW103" s="492">
        <f>+DY102</f>
        <v>29627.762670454493</v>
      </c>
      <c r="DX103" s="476">
        <f>+DW$31</f>
        <v>1221.7634090909089</v>
      </c>
      <c r="DY103" s="476">
        <f t="shared" si="59"/>
        <v>28405.999261363584</v>
      </c>
      <c r="DZ103" s="493">
        <f>+DW$28*DY103+DX103</f>
        <v>4418.8378830420397</v>
      </c>
      <c r="EA103" s="492">
        <f>+EC102</f>
        <v>-177414.18130681937</v>
      </c>
      <c r="EB103" s="476">
        <f>+EA$31</f>
        <v>-7120.3015909091364</v>
      </c>
      <c r="EC103" s="476">
        <f t="shared" si="60"/>
        <v>-170293.87971591024</v>
      </c>
      <c r="ED103" s="493">
        <f>+EA$28*EC103+EB103</f>
        <v>-26286.753399220066</v>
      </c>
      <c r="EE103" s="576">
        <f>+EG102</f>
        <v>5085087.9213636443</v>
      </c>
      <c r="EF103" s="580">
        <f>+EE$31</f>
        <v>192495.44181818186</v>
      </c>
      <c r="EG103" s="580">
        <f t="shared" si="69"/>
        <v>4892592.4795454629</v>
      </c>
      <c r="EH103" s="493">
        <f>+EE$28*EG103+EF103</f>
        <v>743153.15267278685</v>
      </c>
      <c r="EI103" s="576">
        <f>+EK102</f>
        <v>206514.74268939381</v>
      </c>
      <c r="EJ103" s="580">
        <f>+EI$31</f>
        <v>7696.2015909090906</v>
      </c>
      <c r="EK103" s="580">
        <f t="shared" si="70"/>
        <v>198818.54109848471</v>
      </c>
      <c r="EL103" s="493">
        <f>+EI$28*EK103+EJ103</f>
        <v>30073.083208262782</v>
      </c>
      <c r="EM103" s="576">
        <f>+EO102</f>
        <v>7054464.3893181793</v>
      </c>
      <c r="EN103" s="580">
        <f>+EM$31</f>
        <v>261276.45886363636</v>
      </c>
      <c r="EO103" s="580">
        <f t="shared" si="71"/>
        <v>6793187.9304545429</v>
      </c>
      <c r="EP103" s="493">
        <f>+EM$28*EO103+EN103</f>
        <v>1025844.7998460749</v>
      </c>
      <c r="EQ103" s="576">
        <f>+ES102</f>
        <v>13765950.162499985</v>
      </c>
      <c r="ER103" s="580">
        <f>+EQ$31</f>
        <v>500580.00590909086</v>
      </c>
      <c r="ES103" s="580">
        <f t="shared" si="94"/>
        <v>13265370.156590894</v>
      </c>
      <c r="ET103" s="493">
        <f>+EQ$28*ES103+ER103</f>
        <v>1993587.7302609792</v>
      </c>
      <c r="EU103" s="576">
        <f>+EW102</f>
        <v>17787431.074999999</v>
      </c>
      <c r="EV103" s="580">
        <f>+EU$31</f>
        <v>646815.67545454553</v>
      </c>
      <c r="EW103" s="580">
        <f t="shared" si="95"/>
        <v>17140615.399545453</v>
      </c>
      <c r="EX103" s="493">
        <f>+EU$28*EW103+EV103</f>
        <v>2575979.4220802947</v>
      </c>
      <c r="EY103" s="582">
        <f t="shared" si="103"/>
        <v>30807213.459401377</v>
      </c>
      <c r="EZ103" s="557"/>
      <c r="FA103" s="578">
        <f>+EY103</f>
        <v>30807213.459401377</v>
      </c>
      <c r="FD103" s="492"/>
      <c r="FE103" s="476"/>
      <c r="FF103" s="476"/>
      <c r="FG103" s="493"/>
      <c r="FH103" s="492"/>
      <c r="FI103" s="476"/>
      <c r="FJ103" s="476"/>
      <c r="FK103" s="493"/>
      <c r="FL103" s="492"/>
      <c r="FM103" s="476"/>
      <c r="FN103" s="476"/>
      <c r="FO103" s="493"/>
      <c r="FP103" s="492"/>
      <c r="FQ103" s="476"/>
      <c r="FR103" s="476"/>
      <c r="FS103" s="493"/>
      <c r="FT103" s="492"/>
      <c r="FU103" s="476"/>
      <c r="FV103" s="476"/>
      <c r="FW103" s="493"/>
      <c r="FX103" s="492"/>
      <c r="FY103" s="476"/>
      <c r="FZ103" s="476"/>
      <c r="GA103" s="493"/>
      <c r="GB103" s="492"/>
      <c r="GC103" s="476"/>
      <c r="GD103" s="476"/>
      <c r="GE103" s="493"/>
      <c r="GF103" s="492"/>
      <c r="GG103" s="476"/>
      <c r="GH103" s="476"/>
      <c r="GI103" s="493"/>
      <c r="GJ103" s="492"/>
      <c r="GK103" s="476"/>
      <c r="GL103" s="476"/>
      <c r="GM103" s="493"/>
      <c r="GN103" s="492"/>
      <c r="GO103" s="476"/>
      <c r="GP103" s="476"/>
      <c r="GQ103" s="493"/>
      <c r="GR103" s="492"/>
      <c r="GS103" s="476"/>
      <c r="GT103" s="476"/>
      <c r="GU103" s="493"/>
      <c r="GV103" s="492"/>
      <c r="GW103" s="476"/>
      <c r="GX103" s="476"/>
      <c r="GY103" s="493"/>
      <c r="GZ103" s="492"/>
      <c r="HA103" s="476"/>
      <c r="HB103" s="476"/>
      <c r="HC103" s="493"/>
      <c r="HD103" s="576"/>
      <c r="HE103" s="580"/>
      <c r="HF103" s="580"/>
      <c r="HG103" s="918"/>
      <c r="HH103" s="919"/>
      <c r="HI103" s="925"/>
      <c r="HJ103" s="925"/>
      <c r="HK103" s="918"/>
      <c r="HL103" s="919"/>
      <c r="HM103" s="925"/>
      <c r="HN103" s="925"/>
      <c r="HO103" s="918"/>
      <c r="HP103" s="919"/>
      <c r="HQ103" s="925"/>
      <c r="HR103" s="925"/>
      <c r="HS103" s="918"/>
      <c r="HT103" s="919"/>
      <c r="HU103" s="925"/>
      <c r="HV103" s="925"/>
      <c r="HW103" s="918"/>
      <c r="HY103" s="492"/>
      <c r="HZ103" s="476"/>
      <c r="IA103" s="476"/>
      <c r="IB103" s="493"/>
      <c r="IC103" s="492"/>
      <c r="ID103" s="476"/>
      <c r="IE103" s="476"/>
      <c r="IF103" s="493"/>
      <c r="IG103" s="492"/>
      <c r="IH103" s="476"/>
      <c r="II103" s="476"/>
      <c r="IJ103" s="493"/>
    </row>
    <row r="104" spans="1:244">
      <c r="A104" s="554" t="s">
        <v>23</v>
      </c>
      <c r="B104" s="574">
        <v>2038</v>
      </c>
      <c r="C104" s="575">
        <f>+C103</f>
        <v>6575431.7653409019</v>
      </c>
      <c r="D104" s="575">
        <f>+D103</f>
        <v>445791.98409090913</v>
      </c>
      <c r="E104" s="575">
        <f t="shared" si="6"/>
        <v>6129639.7812499925</v>
      </c>
      <c r="F104" s="558">
        <f>+C$29*E104+D104</f>
        <v>1175633.0866954098</v>
      </c>
      <c r="G104" s="575">
        <f>+G103</f>
        <v>1679690.8684090888</v>
      </c>
      <c r="H104" s="575">
        <f>+H103</f>
        <v>115840.74954545456</v>
      </c>
      <c r="I104" s="575">
        <f t="shared" si="7"/>
        <v>1563850.1188636343</v>
      </c>
      <c r="J104" s="558">
        <f>+G$29*I104+H104</f>
        <v>302044.52917879238</v>
      </c>
      <c r="K104" s="576">
        <f>+K103</f>
        <v>4199521.7156249974</v>
      </c>
      <c r="L104" s="575">
        <f>+L103</f>
        <v>305419.76113636367</v>
      </c>
      <c r="M104" s="575">
        <f t="shared" si="8"/>
        <v>3894101.9544886337</v>
      </c>
      <c r="N104" s="558">
        <f>+K$29*M104+L104</f>
        <v>769080.88406433328</v>
      </c>
      <c r="O104" s="576">
        <f>+O103</f>
        <v>1889175.0378787839</v>
      </c>
      <c r="P104" s="575">
        <f>+P103</f>
        <v>119316.31818181818</v>
      </c>
      <c r="Q104" s="575">
        <f t="shared" si="11"/>
        <v>1769858.7196969658</v>
      </c>
      <c r="R104" s="558">
        <f>+O$29*Q104+P104</f>
        <v>330049.03421989002</v>
      </c>
      <c r="S104" s="492">
        <f>+S103</f>
        <v>826139.16060605738</v>
      </c>
      <c r="T104" s="476">
        <f>+T103</f>
        <v>58315.705454545445</v>
      </c>
      <c r="U104" s="476">
        <f t="shared" si="12"/>
        <v>767823.45515151194</v>
      </c>
      <c r="V104" s="493">
        <f>+S$29*U104+T104</f>
        <v>149738.55200216087</v>
      </c>
      <c r="W104" s="492">
        <f>+W103</f>
        <v>10977148.882575765</v>
      </c>
      <c r="X104" s="476">
        <f>+X103</f>
        <v>693293.61363636365</v>
      </c>
      <c r="Y104" s="476">
        <f t="shared" si="13"/>
        <v>10283855.268939402</v>
      </c>
      <c r="Z104" s="493">
        <f>+W$29*Y104+X104</f>
        <v>1917766.9165320285</v>
      </c>
      <c r="AA104" s="492">
        <f>+AA103</f>
        <v>7175763.2859848486</v>
      </c>
      <c r="AB104" s="476">
        <f>+AB103</f>
        <v>450833.29545454547</v>
      </c>
      <c r="AC104" s="476">
        <f t="shared" si="14"/>
        <v>6724929.9905303027</v>
      </c>
      <c r="AD104" s="493">
        <f>+AA$29*AC104+AB104</f>
        <v>1251554.1362191583</v>
      </c>
      <c r="AE104" s="492">
        <f>+AE103</f>
        <v>71267.238636363734</v>
      </c>
      <c r="AF104" s="476">
        <f>+AF103</f>
        <v>4597.886363636364</v>
      </c>
      <c r="AG104" s="476">
        <f t="shared" si="15"/>
        <v>66669.352272727367</v>
      </c>
      <c r="AH104" s="493">
        <f>+AE$29*AG104+AF104</f>
        <v>12536.041835919694</v>
      </c>
      <c r="AI104" s="492">
        <f>+AI103</f>
        <v>4975048.4356060643</v>
      </c>
      <c r="AJ104" s="476">
        <f>+AJ103</f>
        <v>295547.43181818182</v>
      </c>
      <c r="AK104" s="476">
        <f t="shared" si="19"/>
        <v>4679501.0037878826</v>
      </c>
      <c r="AL104" s="493">
        <f>+AI$29*AK104+AJ104</f>
        <v>852724.08397488482</v>
      </c>
      <c r="AM104" s="492">
        <f>+AM103</f>
        <v>1829304.1087500008</v>
      </c>
      <c r="AN104" s="476">
        <f>+AN103</f>
        <v>110866.91568181818</v>
      </c>
      <c r="AO104" s="476">
        <f t="shared" si="16"/>
        <v>1718437.1930681826</v>
      </c>
      <c r="AP104" s="493">
        <f>+AM$29*AO104+AN104</f>
        <v>315476.99726963125</v>
      </c>
      <c r="AQ104" s="492">
        <f>+AQ103</f>
        <v>15157614.974318177</v>
      </c>
      <c r="AR104" s="476">
        <f>+AR103</f>
        <v>904932.23727272719</v>
      </c>
      <c r="AS104" s="476">
        <f t="shared" si="17"/>
        <v>14252682.73704545</v>
      </c>
      <c r="AT104" s="493">
        <f>+AQ$29*AS104+AR104</f>
        <v>2601964.045846005</v>
      </c>
      <c r="AU104" s="575"/>
      <c r="AV104" s="575"/>
      <c r="AW104" s="575"/>
      <c r="AX104" s="558"/>
      <c r="AY104" s="575"/>
      <c r="AZ104" s="575"/>
      <c r="BA104" s="575"/>
      <c r="BB104" s="558"/>
      <c r="BC104" s="575"/>
      <c r="BD104" s="575"/>
      <c r="BE104" s="575"/>
      <c r="BF104" s="558"/>
      <c r="BG104" s="575"/>
      <c r="BH104" s="575"/>
      <c r="BI104" s="575"/>
      <c r="BJ104" s="558"/>
      <c r="BK104" s="575"/>
      <c r="BL104" s="575"/>
      <c r="BM104" s="575"/>
      <c r="BN104" s="558"/>
      <c r="BO104" s="575"/>
      <c r="BP104" s="575"/>
      <c r="BQ104" s="575"/>
      <c r="BR104" s="558"/>
      <c r="BS104" s="492">
        <f>+BS103</f>
        <v>141285.06818181847</v>
      </c>
      <c r="BT104" s="476">
        <f>+BT103</f>
        <v>8310.886363636364</v>
      </c>
      <c r="BU104" s="476">
        <f t="shared" si="18"/>
        <v>132974.18181818211</v>
      </c>
      <c r="BV104" s="493">
        <f>+BS$29*BU104+BT104</f>
        <v>24143.794485412222</v>
      </c>
      <c r="BW104" s="492">
        <f>+BW103</f>
        <v>10094721.477272745</v>
      </c>
      <c r="BX104" s="476">
        <f>+BX103</f>
        <v>576841.22727272729</v>
      </c>
      <c r="BY104" s="476">
        <f t="shared" si="20"/>
        <v>9517880.2500000186</v>
      </c>
      <c r="BZ104" s="493">
        <f>+BW$29*BY104+BX104</f>
        <v>1648071.699167697</v>
      </c>
      <c r="CA104" s="492">
        <f>+CA103</f>
        <v>957129.76000000187</v>
      </c>
      <c r="CB104" s="476">
        <f>+CB103</f>
        <v>54433.919999999998</v>
      </c>
      <c r="CC104" s="476">
        <f t="shared" si="21"/>
        <v>902695.84000000183</v>
      </c>
      <c r="CD104" s="493">
        <f>+CA$29*CC104+CB104</f>
        <v>161915.68902619649</v>
      </c>
      <c r="CE104" s="492">
        <f>+CE103</f>
        <v>81506.751818182005</v>
      </c>
      <c r="CF104" s="476">
        <f>+CF103</f>
        <v>4725.0290909090909</v>
      </c>
      <c r="CG104" s="476">
        <f t="shared" si="22"/>
        <v>76781.722727272921</v>
      </c>
      <c r="CH104" s="493">
        <f>+CE$29*CG104+CF104</f>
        <v>13867.239591852791</v>
      </c>
      <c r="CI104" s="492">
        <f>+CI103</f>
        <v>224589.54545454506</v>
      </c>
      <c r="CJ104" s="476">
        <f>+CJ103</f>
        <v>12362.727272727272</v>
      </c>
      <c r="CK104" s="476">
        <f t="shared" si="23"/>
        <v>212226.8181818178</v>
      </c>
      <c r="CL104" s="493">
        <f>+CI$29*CK104+CJ104</f>
        <v>36248.70068468275</v>
      </c>
      <c r="CM104" s="492">
        <f>+CM103</f>
        <v>11003985.011647735</v>
      </c>
      <c r="CN104" s="476">
        <f>+CN103</f>
        <v>483691.64886363636</v>
      </c>
      <c r="CO104" s="476">
        <f t="shared" si="33"/>
        <v>10520293.362784099</v>
      </c>
      <c r="CP104" s="493">
        <f>+CM$29*CO104+CN104</f>
        <v>1667742.9846102386</v>
      </c>
      <c r="CQ104" s="492">
        <f>+CQ103</f>
        <v>45903493.188238628</v>
      </c>
      <c r="CR104" s="476">
        <f>+CR103</f>
        <v>2017735.9643181816</v>
      </c>
      <c r="CS104" s="476">
        <f t="shared" si="38"/>
        <v>43885757.22392045</v>
      </c>
      <c r="CT104" s="493">
        <f>+CQ$29*CS104+CR104</f>
        <v>6957045.893170069</v>
      </c>
      <c r="CU104" s="492">
        <f>+CU103</f>
        <v>15552493.567500025</v>
      </c>
      <c r="CV104" s="476">
        <f>+CV103</f>
        <v>676195.37250000006</v>
      </c>
      <c r="CW104" s="476">
        <f t="shared" si="39"/>
        <v>14876298.195000025</v>
      </c>
      <c r="CX104" s="493">
        <f>+CU$29*CW104+CV104</f>
        <v>2350511.8712267131</v>
      </c>
      <c r="CY104" s="492">
        <f>+CY103</f>
        <v>17242.510795454567</v>
      </c>
      <c r="CZ104" s="476">
        <f>+CZ103</f>
        <v>733.72386363636497</v>
      </c>
      <c r="DA104" s="476">
        <f t="shared" si="40"/>
        <v>16508.786931818202</v>
      </c>
      <c r="DB104" s="493">
        <f>+CY$29*DA104+CZ104</f>
        <v>2591.7757775995697</v>
      </c>
      <c r="DC104" s="492">
        <f>+DC103</f>
        <v>1035338.1409090929</v>
      </c>
      <c r="DD104" s="476">
        <f>+DD103</f>
        <v>44530.672727272722</v>
      </c>
      <c r="DE104" s="476">
        <f t="shared" si="41"/>
        <v>990807.46818182012</v>
      </c>
      <c r="DF104" s="493">
        <f>+DC$29*DE104+DD104</f>
        <v>156045.32975371191</v>
      </c>
      <c r="DG104" s="492">
        <f>+DG103</f>
        <v>579027.6464772718</v>
      </c>
      <c r="DH104" s="476">
        <f>+DH103</f>
        <v>24639.474318181816</v>
      </c>
      <c r="DI104" s="476">
        <f t="shared" si="42"/>
        <v>554388.17215908994</v>
      </c>
      <c r="DJ104" s="493">
        <f>+DG$29*DI104+DH104</f>
        <v>87035.458263763649</v>
      </c>
      <c r="DK104" s="492">
        <f>+DK103</f>
        <v>12733762.405340914</v>
      </c>
      <c r="DL104" s="476">
        <f>+DL103</f>
        <v>549658.80886363634</v>
      </c>
      <c r="DM104" s="476">
        <f t="shared" si="43"/>
        <v>12184103.596477278</v>
      </c>
      <c r="DN104" s="493">
        <f>+DK$29*DM104+DL104</f>
        <v>1920970.7714481126</v>
      </c>
      <c r="DO104" s="492">
        <f>+DO103</f>
        <v>473490.34337121178</v>
      </c>
      <c r="DP104" s="476">
        <f>+DP103</f>
        <v>19592.703863636354</v>
      </c>
      <c r="DQ104" s="476">
        <f t="shared" si="148"/>
        <v>453897.63950757543</v>
      </c>
      <c r="DR104" s="493">
        <f>+DO$29*DQ104+DP104</f>
        <v>70678.551740500727</v>
      </c>
      <c r="DS104" s="492">
        <f>+DS103</f>
        <v>203245.94181818125</v>
      </c>
      <c r="DT104" s="476">
        <f>+DT103</f>
        <v>8295.7527272726966</v>
      </c>
      <c r="DU104" s="476">
        <f t="shared" si="58"/>
        <v>194950.18909090856</v>
      </c>
      <c r="DV104" s="493">
        <f>+DS$29*DU104+DT104</f>
        <v>30237.254150960718</v>
      </c>
      <c r="DW104" s="492">
        <f>+DW103</f>
        <v>29627.762670454493</v>
      </c>
      <c r="DX104" s="476">
        <f>+DX103</f>
        <v>1221.7634090909089</v>
      </c>
      <c r="DY104" s="476">
        <f t="shared" si="59"/>
        <v>28405.999261363584</v>
      </c>
      <c r="DZ104" s="493">
        <f>+DW$29*DY104+DX104</f>
        <v>4418.8378830420397</v>
      </c>
      <c r="EA104" s="492">
        <f>+EA103</f>
        <v>-177414.18130681937</v>
      </c>
      <c r="EB104" s="476">
        <f>+EB103</f>
        <v>-7120.3015909091364</v>
      </c>
      <c r="EC104" s="476">
        <f t="shared" si="60"/>
        <v>-170293.87971591024</v>
      </c>
      <c r="ED104" s="493">
        <f>+EA$29*EC104+EB104</f>
        <v>-26286.753399220066</v>
      </c>
      <c r="EE104" s="576">
        <f>+EE103</f>
        <v>5085087.9213636443</v>
      </c>
      <c r="EF104" s="580">
        <f>+EF103</f>
        <v>192495.44181818186</v>
      </c>
      <c r="EG104" s="580">
        <f t="shared" si="69"/>
        <v>4892592.4795454629</v>
      </c>
      <c r="EH104" s="493">
        <f>+EE$29*EG104+EF104</f>
        <v>743153.15267278685</v>
      </c>
      <c r="EI104" s="576">
        <f>+EI103</f>
        <v>206514.74268939381</v>
      </c>
      <c r="EJ104" s="580">
        <f>+EJ103</f>
        <v>7696.2015909090906</v>
      </c>
      <c r="EK104" s="580">
        <f t="shared" si="70"/>
        <v>198818.54109848471</v>
      </c>
      <c r="EL104" s="493">
        <f>+EI$29*EK104+EJ104</f>
        <v>30073.083208262782</v>
      </c>
      <c r="EM104" s="576">
        <f>+EM103</f>
        <v>7054464.3893181793</v>
      </c>
      <c r="EN104" s="580">
        <f>+EN103</f>
        <v>261276.45886363636</v>
      </c>
      <c r="EO104" s="580">
        <f t="shared" si="71"/>
        <v>6793187.9304545429</v>
      </c>
      <c r="EP104" s="493">
        <f>+EM$29*EO104+EN104</f>
        <v>1025844.7998460749</v>
      </c>
      <c r="EQ104" s="576">
        <f>+EQ103</f>
        <v>13765950.162499985</v>
      </c>
      <c r="ER104" s="580">
        <f>+ER103</f>
        <v>500580.00590909086</v>
      </c>
      <c r="ES104" s="580">
        <f t="shared" si="94"/>
        <v>13265370.156590894</v>
      </c>
      <c r="ET104" s="493">
        <f>+EQ$29*ES104+ER104</f>
        <v>1993587.7302609792</v>
      </c>
      <c r="EU104" s="576">
        <f>+EU103</f>
        <v>17787431.074999999</v>
      </c>
      <c r="EV104" s="580">
        <f>+EV103</f>
        <v>646815.67545454553</v>
      </c>
      <c r="EW104" s="580">
        <f t="shared" si="95"/>
        <v>17140615.399545453</v>
      </c>
      <c r="EX104" s="493">
        <f>+EU$29*EW104+EV104</f>
        <v>2575979.4220802947</v>
      </c>
      <c r="EY104" s="582">
        <f t="shared" si="103"/>
        <v>31152445.593487944</v>
      </c>
      <c r="EZ104" s="579">
        <f>+EY104</f>
        <v>31152445.593487944</v>
      </c>
      <c r="FA104" s="553"/>
      <c r="FD104" s="492"/>
      <c r="FE104" s="476"/>
      <c r="FF104" s="476"/>
      <c r="FG104" s="493"/>
      <c r="FH104" s="492"/>
      <c r="FI104" s="476"/>
      <c r="FJ104" s="476"/>
      <c r="FK104" s="493"/>
      <c r="FL104" s="492"/>
      <c r="FM104" s="476"/>
      <c r="FN104" s="476"/>
      <c r="FO104" s="493"/>
      <c r="FP104" s="492"/>
      <c r="FQ104" s="476"/>
      <c r="FR104" s="476"/>
      <c r="FS104" s="493"/>
      <c r="FT104" s="492"/>
      <c r="FU104" s="476"/>
      <c r="FV104" s="476"/>
      <c r="FW104" s="493"/>
      <c r="FX104" s="492"/>
      <c r="FY104" s="476"/>
      <c r="FZ104" s="476"/>
      <c r="GA104" s="493"/>
      <c r="GB104" s="492"/>
      <c r="GC104" s="476"/>
      <c r="GD104" s="476"/>
      <c r="GE104" s="493"/>
      <c r="GF104" s="492"/>
      <c r="GG104" s="476"/>
      <c r="GH104" s="476"/>
      <c r="GI104" s="493"/>
      <c r="GJ104" s="492"/>
      <c r="GK104" s="476"/>
      <c r="GL104" s="476"/>
      <c r="GM104" s="493"/>
      <c r="GN104" s="492"/>
      <c r="GO104" s="476"/>
      <c r="GP104" s="476"/>
      <c r="GQ104" s="493"/>
      <c r="GR104" s="492"/>
      <c r="GS104" s="476"/>
      <c r="GT104" s="476"/>
      <c r="GU104" s="493"/>
      <c r="GV104" s="492"/>
      <c r="GW104" s="476"/>
      <c r="GX104" s="476"/>
      <c r="GY104" s="493"/>
      <c r="GZ104" s="492"/>
      <c r="HA104" s="476"/>
      <c r="HB104" s="476"/>
      <c r="HC104" s="493"/>
      <c r="HD104" s="576"/>
      <c r="HE104" s="580"/>
      <c r="HF104" s="580"/>
      <c r="HG104" s="918"/>
      <c r="HH104" s="919"/>
      <c r="HI104" s="925"/>
      <c r="HJ104" s="925"/>
      <c r="HK104" s="918"/>
      <c r="HL104" s="919"/>
      <c r="HM104" s="925"/>
      <c r="HN104" s="925"/>
      <c r="HO104" s="918"/>
      <c r="HP104" s="919"/>
      <c r="HQ104" s="925"/>
      <c r="HR104" s="925"/>
      <c r="HS104" s="918"/>
      <c r="HT104" s="919"/>
      <c r="HU104" s="925"/>
      <c r="HV104" s="925"/>
      <c r="HW104" s="918"/>
      <c r="HY104" s="492"/>
      <c r="HZ104" s="476"/>
      <c r="IA104" s="476"/>
      <c r="IB104" s="493"/>
      <c r="IC104" s="492"/>
      <c r="ID104" s="476"/>
      <c r="IE104" s="476"/>
      <c r="IF104" s="493"/>
      <c r="IG104" s="492"/>
      <c r="IH104" s="476"/>
      <c r="II104" s="476"/>
      <c r="IJ104" s="493"/>
    </row>
    <row r="105" spans="1:244">
      <c r="A105" s="554" t="s">
        <v>24</v>
      </c>
      <c r="B105" s="574">
        <v>2039</v>
      </c>
      <c r="C105" s="575">
        <f>+E104</f>
        <v>6129639.7812499925</v>
      </c>
      <c r="D105" s="575">
        <f>+C$31</f>
        <v>445791.98409090913</v>
      </c>
      <c r="E105" s="575">
        <f t="shared" si="6"/>
        <v>5683847.7971590832</v>
      </c>
      <c r="F105" s="558">
        <f>+C$28*E105+D105</f>
        <v>1085504.9031444867</v>
      </c>
      <c r="G105" s="575">
        <f>+I104</f>
        <v>1563850.1188636343</v>
      </c>
      <c r="H105" s="575">
        <f>+G$31</f>
        <v>115840.74954545456</v>
      </c>
      <c r="I105" s="575">
        <f t="shared" si="7"/>
        <v>1448009.3693181798</v>
      </c>
      <c r="J105" s="558">
        <f>+G$28*I105+H105</f>
        <v>278813.14668220654</v>
      </c>
      <c r="K105" s="576">
        <f>+M104</f>
        <v>3894101.9544886337</v>
      </c>
      <c r="L105" s="575">
        <f>+K$31</f>
        <v>305419.76113636367</v>
      </c>
      <c r="M105" s="575">
        <f t="shared" si="8"/>
        <v>3588682.1933522699</v>
      </c>
      <c r="N105" s="558">
        <f>+K$28*M105+L105</f>
        <v>709323.32143444777</v>
      </c>
      <c r="O105" s="576">
        <f>+Q104</f>
        <v>1769858.7196969658</v>
      </c>
      <c r="P105" s="575">
        <f>+O$31</f>
        <v>119316.31818181818</v>
      </c>
      <c r="Q105" s="575">
        <f t="shared" si="11"/>
        <v>1650542.4015151476</v>
      </c>
      <c r="R105" s="558">
        <f>+O$28*Q105+P105</f>
        <v>305083.66019662493</v>
      </c>
      <c r="S105" s="492">
        <f>+U104</f>
        <v>767823.45515151194</v>
      </c>
      <c r="T105" s="476">
        <f>+S$31</f>
        <v>58315.705454545445</v>
      </c>
      <c r="U105" s="476">
        <f t="shared" si="12"/>
        <v>709507.74969696649</v>
      </c>
      <c r="V105" s="493">
        <f>+S$28*U105+T105</f>
        <v>138170.28457903251</v>
      </c>
      <c r="W105" s="492">
        <f>+Y104</f>
        <v>10283855.268939402</v>
      </c>
      <c r="X105" s="476">
        <f>+W$31</f>
        <v>693293.61363636365</v>
      </c>
      <c r="Y105" s="476">
        <f t="shared" si="13"/>
        <v>9590561.6553030387</v>
      </c>
      <c r="Z105" s="493">
        <f>+W$28*Y105+X105</f>
        <v>1772704.3246240392</v>
      </c>
      <c r="AA105" s="492">
        <f>+AC104</f>
        <v>6724929.9905303027</v>
      </c>
      <c r="AB105" s="476">
        <f>+AA$31</f>
        <v>450833.29545454547</v>
      </c>
      <c r="AC105" s="476">
        <f t="shared" si="14"/>
        <v>6274096.6950757569</v>
      </c>
      <c r="AD105" s="493">
        <f>+AA$28*AC105+AB105</f>
        <v>1156978.29695114</v>
      </c>
      <c r="AE105" s="492">
        <f>+AG104</f>
        <v>66669.352272727367</v>
      </c>
      <c r="AF105" s="476">
        <f>+AE$31</f>
        <v>4597.886363636364</v>
      </c>
      <c r="AG105" s="476">
        <f t="shared" si="15"/>
        <v>62071.465909090999</v>
      </c>
      <c r="AH105" s="493">
        <f>+AE$28*AG105+AF105</f>
        <v>11583.984525252543</v>
      </c>
      <c r="AI105" s="492">
        <f>+AK104</f>
        <v>4679501.0037878826</v>
      </c>
      <c r="AJ105" s="476">
        <f>+AI$31</f>
        <v>295547.43181818182</v>
      </c>
      <c r="AK105" s="476">
        <f t="shared" si="19"/>
        <v>4383953.571969701</v>
      </c>
      <c r="AL105" s="493">
        <f>+AI$28*AK105+AJ105</f>
        <v>788958.20504856901</v>
      </c>
      <c r="AM105" s="492">
        <f>+AO104</f>
        <v>1718437.1930681826</v>
      </c>
      <c r="AN105" s="476">
        <f>+AM$31</f>
        <v>110866.91568181818</v>
      </c>
      <c r="AO105" s="476">
        <f t="shared" si="16"/>
        <v>1607570.2773863643</v>
      </c>
      <c r="AP105" s="493">
        <f>+AM$28*AO105+AN105</f>
        <v>291797.77650546836</v>
      </c>
      <c r="AQ105" s="492">
        <f>+AS104</f>
        <v>14252682.73704545</v>
      </c>
      <c r="AR105" s="476">
        <f>+AQ$31</f>
        <v>904932.23727272719</v>
      </c>
      <c r="AS105" s="476">
        <f t="shared" si="17"/>
        <v>13347750.499772724</v>
      </c>
      <c r="AT105" s="493">
        <f>+AQ$28*AS105+AR105</f>
        <v>2407211.8090931252</v>
      </c>
      <c r="AU105" s="575"/>
      <c r="AV105" s="575"/>
      <c r="AW105" s="575"/>
      <c r="AX105" s="558"/>
      <c r="AY105" s="575"/>
      <c r="AZ105" s="575"/>
      <c r="BA105" s="575"/>
      <c r="BB105" s="558"/>
      <c r="BC105" s="575"/>
      <c r="BD105" s="575"/>
      <c r="BE105" s="575"/>
      <c r="BF105" s="558"/>
      <c r="BG105" s="575"/>
      <c r="BH105" s="575"/>
      <c r="BI105" s="575"/>
      <c r="BJ105" s="558"/>
      <c r="BK105" s="575"/>
      <c r="BL105" s="575"/>
      <c r="BM105" s="575"/>
      <c r="BN105" s="558"/>
      <c r="BO105" s="575"/>
      <c r="BP105" s="575"/>
      <c r="BQ105" s="575"/>
      <c r="BR105" s="558"/>
      <c r="BS105" s="492">
        <f>+BU104</f>
        <v>132974.18181818211</v>
      </c>
      <c r="BT105" s="476">
        <f>+BS$31</f>
        <v>8310.886363636364</v>
      </c>
      <c r="BU105" s="476">
        <f t="shared" si="18"/>
        <v>124663.29545454575</v>
      </c>
      <c r="BV105" s="493">
        <f>+BS$28*BU105+BT105</f>
        <v>22341.649234156277</v>
      </c>
      <c r="BW105" s="492">
        <f>+BY104</f>
        <v>9517880.2500000186</v>
      </c>
      <c r="BX105" s="476">
        <f>+BW$31</f>
        <v>576841.22727272729</v>
      </c>
      <c r="BY105" s="476">
        <f t="shared" si="20"/>
        <v>8941039.022727292</v>
      </c>
      <c r="BZ105" s="493">
        <f>+BW$28*BY105+BX105</f>
        <v>1583148.6402649716</v>
      </c>
      <c r="CA105" s="492">
        <f>+CC104</f>
        <v>902695.84000000183</v>
      </c>
      <c r="CB105" s="476">
        <f>+CA$31</f>
        <v>54433.919999999998</v>
      </c>
      <c r="CC105" s="476">
        <f t="shared" si="21"/>
        <v>848261.92000000179</v>
      </c>
      <c r="CD105" s="493">
        <f>+CA$28*CC105+CB105</f>
        <v>149905.17966962373</v>
      </c>
      <c r="CE105" s="492">
        <f>+CG104</f>
        <v>76781.722727272921</v>
      </c>
      <c r="CF105" s="476">
        <f>+CE$31</f>
        <v>4725.0290909090909</v>
      </c>
      <c r="CG105" s="476">
        <f t="shared" si="22"/>
        <v>72056.693636363838</v>
      </c>
      <c r="CH105" s="493">
        <f>+CE$28*CG105+CF105</f>
        <v>12834.957341716106</v>
      </c>
      <c r="CI105" s="492">
        <f>+CK104</f>
        <v>212226.8181818178</v>
      </c>
      <c r="CJ105" s="476">
        <f>+CI$31</f>
        <v>12362.727272727272</v>
      </c>
      <c r="CK105" s="476">
        <f t="shared" si="23"/>
        <v>199864.09090909053</v>
      </c>
      <c r="CL105" s="493">
        <f>+CI$28*CK105+CJ105</f>
        <v>34857.284757772723</v>
      </c>
      <c r="CM105" s="492">
        <f>+CO104</f>
        <v>10520293.362784099</v>
      </c>
      <c r="CN105" s="476">
        <f>+CM$31</f>
        <v>483691.64886363636</v>
      </c>
      <c r="CO105" s="476">
        <f t="shared" si="33"/>
        <v>10036601.713920463</v>
      </c>
      <c r="CP105" s="493">
        <f>+CM$28*CO105+CN105</f>
        <v>1613303.8427368319</v>
      </c>
      <c r="CQ105" s="492">
        <f>+CS104</f>
        <v>43885757.22392045</v>
      </c>
      <c r="CR105" s="476">
        <f>+CQ$31</f>
        <v>2017735.9643181816</v>
      </c>
      <c r="CS105" s="476">
        <f t="shared" si="38"/>
        <v>41868021.259602271</v>
      </c>
      <c r="CT105" s="493">
        <f>+CQ$28*CS105+CR105</f>
        <v>6729951.1837975681</v>
      </c>
      <c r="CU105" s="492">
        <f>+CW104</f>
        <v>14876298.195000025</v>
      </c>
      <c r="CV105" s="476">
        <f>+CU$31</f>
        <v>676195.37250000006</v>
      </c>
      <c r="CW105" s="476">
        <f t="shared" si="39"/>
        <v>14200102.822500024</v>
      </c>
      <c r="CX105" s="493">
        <f>+CU$28*CW105+CV105</f>
        <v>2274406.5758300442</v>
      </c>
      <c r="CY105" s="492">
        <f>+DA104</f>
        <v>16508.786931818202</v>
      </c>
      <c r="CZ105" s="476">
        <f>+CY$31</f>
        <v>733.72386363636497</v>
      </c>
      <c r="DA105" s="476">
        <f t="shared" si="40"/>
        <v>15775.063068181837</v>
      </c>
      <c r="DB105" s="493">
        <f>+CY$28*DA105+CZ105</f>
        <v>2509.1956925345385</v>
      </c>
      <c r="DC105" s="492">
        <f>+DE104</f>
        <v>990807.46818182012</v>
      </c>
      <c r="DD105" s="476">
        <f>+DC$31</f>
        <v>44530.672727272722</v>
      </c>
      <c r="DE105" s="476">
        <f t="shared" si="41"/>
        <v>946276.79545454739</v>
      </c>
      <c r="DF105" s="493">
        <f>+DC$28*DE105+DD105</f>
        <v>151033.43505589443</v>
      </c>
      <c r="DG105" s="492">
        <f>+DI104</f>
        <v>554388.17215908994</v>
      </c>
      <c r="DH105" s="476">
        <f>+DG$31</f>
        <v>24639.474318181816</v>
      </c>
      <c r="DI105" s="476">
        <f t="shared" si="42"/>
        <v>529748.69784090808</v>
      </c>
      <c r="DJ105" s="493">
        <f>+DG$28*DI105+DH105</f>
        <v>84262.303421737772</v>
      </c>
      <c r="DK105" s="492">
        <f>+DM104</f>
        <v>12184103.596477278</v>
      </c>
      <c r="DL105" s="476">
        <f>+DK$31</f>
        <v>549658.80886363634</v>
      </c>
      <c r="DM105" s="476">
        <f t="shared" si="43"/>
        <v>11634444.787613641</v>
      </c>
      <c r="DN105" s="493">
        <f>+DK$28*DM105+DL105</f>
        <v>1859107.0738879107</v>
      </c>
      <c r="DO105" s="492">
        <f>+DQ104</f>
        <v>453897.63950757543</v>
      </c>
      <c r="DP105" s="476">
        <f>+DO$31</f>
        <v>19592.703863636354</v>
      </c>
      <c r="DQ105" s="476">
        <f t="shared" si="148"/>
        <v>434304.93564393907</v>
      </c>
      <c r="DR105" s="493">
        <f>+DO$28*DQ105+DP105</f>
        <v>68473.407227830321</v>
      </c>
      <c r="DS105" s="492">
        <f>+DU104</f>
        <v>194950.18909090856</v>
      </c>
      <c r="DT105" s="476">
        <f>+DS$31</f>
        <v>8295.7527272726966</v>
      </c>
      <c r="DU105" s="476">
        <f t="shared" si="58"/>
        <v>186654.43636363588</v>
      </c>
      <c r="DV105" s="493">
        <f>+DS$28*DU105+DT105</f>
        <v>29303.573239314421</v>
      </c>
      <c r="DW105" s="492">
        <f>+DY104</f>
        <v>28405.999261363584</v>
      </c>
      <c r="DX105" s="476">
        <f>+DW$31</f>
        <v>1221.7634090909089</v>
      </c>
      <c r="DY105" s="476">
        <f t="shared" si="59"/>
        <v>27184.235852272675</v>
      </c>
      <c r="DZ105" s="493">
        <f>+DW$28*DY105+DX105</f>
        <v>4281.3293035172601</v>
      </c>
      <c r="EA105" s="492">
        <f>+EC104</f>
        <v>-170293.87971591024</v>
      </c>
      <c r="EB105" s="476">
        <f>+EA$31</f>
        <v>-7120.3015909091364</v>
      </c>
      <c r="EC105" s="476">
        <f t="shared" si="60"/>
        <v>-163173.57812500111</v>
      </c>
      <c r="ED105" s="493">
        <f>+EA$28*EC105+EB105</f>
        <v>-25485.3686546217</v>
      </c>
      <c r="EE105" s="576">
        <f>+EG104</f>
        <v>4892592.4795454629</v>
      </c>
      <c r="EF105" s="580">
        <f>+EE$31</f>
        <v>192495.44181818186</v>
      </c>
      <c r="EG105" s="580">
        <f t="shared" si="69"/>
        <v>4700097.0377272815</v>
      </c>
      <c r="EH105" s="493">
        <f>+EE$28*EG105+EF105</f>
        <v>721487.93126211397</v>
      </c>
      <c r="EI105" s="576">
        <f>+EK104</f>
        <v>198818.54109848471</v>
      </c>
      <c r="EJ105" s="580">
        <f>+EI$31</f>
        <v>7696.2015909090906</v>
      </c>
      <c r="EK105" s="580">
        <f t="shared" si="70"/>
        <v>191122.33950757561</v>
      </c>
      <c r="EL105" s="493">
        <f>+EI$28*EK105+EJ105</f>
        <v>29206.88133920393</v>
      </c>
      <c r="EM105" s="576">
        <f>+EO104</f>
        <v>6793187.9304545429</v>
      </c>
      <c r="EN105" s="580">
        <f>+EM$31</f>
        <v>261276.45886363636</v>
      </c>
      <c r="EO105" s="580">
        <f t="shared" si="71"/>
        <v>6531911.4715909064</v>
      </c>
      <c r="EP105" s="493">
        <f>+EM$28*EO105+EN105</f>
        <v>996438.32519290422</v>
      </c>
      <c r="EQ105" s="576">
        <f>+ES104</f>
        <v>13265370.156590894</v>
      </c>
      <c r="ER105" s="580">
        <f>+EQ$31</f>
        <v>500580.00590909086</v>
      </c>
      <c r="ES105" s="580">
        <f t="shared" si="94"/>
        <v>12764790.150681803</v>
      </c>
      <c r="ET105" s="493">
        <f>+EQ$28*ES105+ER105</f>
        <v>1937247.8161344929</v>
      </c>
      <c r="EU105" s="576">
        <f>+EW104</f>
        <v>17140615.399545453</v>
      </c>
      <c r="EV105" s="580">
        <f>+EU$31</f>
        <v>646815.67545454553</v>
      </c>
      <c r="EW105" s="580">
        <f t="shared" si="95"/>
        <v>16493799.724090908</v>
      </c>
      <c r="EX105" s="493">
        <f>+EU$28*EW105+EV105</f>
        <v>2503180.7901321533</v>
      </c>
      <c r="EY105" s="582">
        <f t="shared" si="103"/>
        <v>29727925.719652068</v>
      </c>
      <c r="EZ105" s="557"/>
      <c r="FA105" s="578">
        <f>+EY105</f>
        <v>29727925.719652068</v>
      </c>
      <c r="FD105" s="492"/>
      <c r="FE105" s="476"/>
      <c r="FF105" s="476"/>
      <c r="FG105" s="493"/>
      <c r="FH105" s="492"/>
      <c r="FI105" s="476"/>
      <c r="FJ105" s="476"/>
      <c r="FK105" s="493"/>
      <c r="FL105" s="492"/>
      <c r="FM105" s="476"/>
      <c r="FN105" s="476"/>
      <c r="FO105" s="493"/>
      <c r="FP105" s="492"/>
      <c r="FQ105" s="476"/>
      <c r="FR105" s="476"/>
      <c r="FS105" s="493"/>
      <c r="FT105" s="492"/>
      <c r="FU105" s="476"/>
      <c r="FV105" s="476"/>
      <c r="FW105" s="493"/>
      <c r="FX105" s="492"/>
      <c r="FY105" s="476"/>
      <c r="FZ105" s="476"/>
      <c r="GA105" s="493"/>
      <c r="GB105" s="492"/>
      <c r="GC105" s="476"/>
      <c r="GD105" s="476"/>
      <c r="GE105" s="493"/>
      <c r="GF105" s="492"/>
      <c r="GG105" s="476"/>
      <c r="GH105" s="476"/>
      <c r="GI105" s="493"/>
      <c r="GJ105" s="492"/>
      <c r="GK105" s="476"/>
      <c r="GL105" s="476"/>
      <c r="GM105" s="493"/>
      <c r="GN105" s="492"/>
      <c r="GO105" s="476"/>
      <c r="GP105" s="476"/>
      <c r="GQ105" s="493"/>
      <c r="GR105" s="492"/>
      <c r="GS105" s="476"/>
      <c r="GT105" s="476"/>
      <c r="GU105" s="493"/>
      <c r="GV105" s="492"/>
      <c r="GW105" s="476"/>
      <c r="GX105" s="476"/>
      <c r="GY105" s="493"/>
      <c r="GZ105" s="492"/>
      <c r="HA105" s="476"/>
      <c r="HB105" s="476"/>
      <c r="HC105" s="493"/>
      <c r="HD105" s="576"/>
      <c r="HE105" s="580"/>
      <c r="HF105" s="580"/>
      <c r="HG105" s="918"/>
      <c r="HH105" s="919"/>
      <c r="HI105" s="925"/>
      <c r="HJ105" s="925"/>
      <c r="HK105" s="918"/>
      <c r="HL105" s="919"/>
      <c r="HM105" s="925"/>
      <c r="HN105" s="925"/>
      <c r="HO105" s="918"/>
      <c r="HP105" s="919"/>
      <c r="HQ105" s="925"/>
      <c r="HR105" s="925"/>
      <c r="HS105" s="918"/>
      <c r="HT105" s="919"/>
      <c r="HU105" s="925"/>
      <c r="HV105" s="925"/>
      <c r="HW105" s="918"/>
      <c r="HY105" s="492"/>
      <c r="HZ105" s="476"/>
      <c r="IA105" s="476"/>
      <c r="IB105" s="493"/>
      <c r="IC105" s="492"/>
      <c r="ID105" s="476"/>
      <c r="IE105" s="476"/>
      <c r="IF105" s="493"/>
      <c r="IG105" s="492"/>
      <c r="IH105" s="476"/>
      <c r="II105" s="476"/>
      <c r="IJ105" s="493"/>
    </row>
    <row r="106" spans="1:244">
      <c r="A106" s="554" t="s">
        <v>23</v>
      </c>
      <c r="B106" s="574">
        <v>2039</v>
      </c>
      <c r="C106" s="575">
        <f>+C105</f>
        <v>6129639.7812499925</v>
      </c>
      <c r="D106" s="575">
        <f>+D105</f>
        <v>445791.98409090913</v>
      </c>
      <c r="E106" s="575">
        <f t="shared" si="6"/>
        <v>5683847.7971590832</v>
      </c>
      <c r="F106" s="558">
        <f>+C$29*E106+D106</f>
        <v>1122553.7337787189</v>
      </c>
      <c r="G106" s="575">
        <f>+G105</f>
        <v>1563850.1188636343</v>
      </c>
      <c r="H106" s="575">
        <f>+H105</f>
        <v>115840.74954545456</v>
      </c>
      <c r="I106" s="575">
        <f t="shared" si="7"/>
        <v>1448009.3693181798</v>
      </c>
      <c r="J106" s="558">
        <f>+G$29*I106+H106</f>
        <v>288251.65661335993</v>
      </c>
      <c r="K106" s="576">
        <f>+K105</f>
        <v>3894101.9544886337</v>
      </c>
      <c r="L106" s="575">
        <f>+L105</f>
        <v>305419.76113636367</v>
      </c>
      <c r="M106" s="575">
        <f t="shared" si="8"/>
        <v>3588682.1933522699</v>
      </c>
      <c r="N106" s="558">
        <f>+K$29*M106+L106</f>
        <v>732715.30579547293</v>
      </c>
      <c r="O106" s="576">
        <f>+O105</f>
        <v>1769858.7196969658</v>
      </c>
      <c r="P106" s="575">
        <f>+P105</f>
        <v>119316.31818181818</v>
      </c>
      <c r="Q106" s="575">
        <f t="shared" si="11"/>
        <v>1650542.4015151476</v>
      </c>
      <c r="R106" s="558">
        <f>+O$29*Q106+P106</f>
        <v>315842.33426226722</v>
      </c>
      <c r="S106" s="492">
        <f>+S105</f>
        <v>767823.45515151194</v>
      </c>
      <c r="T106" s="476">
        <f>+T105</f>
        <v>58315.705454545445</v>
      </c>
      <c r="U106" s="476">
        <f t="shared" si="12"/>
        <v>709507.74969696649</v>
      </c>
      <c r="V106" s="493">
        <f>+S$29*U106+T106</f>
        <v>142795.04466943053</v>
      </c>
      <c r="W106" s="492">
        <f>+W105</f>
        <v>10283855.268939402</v>
      </c>
      <c r="X106" s="476">
        <f>+X105</f>
        <v>693293.61363636365</v>
      </c>
      <c r="Y106" s="476">
        <f t="shared" si="13"/>
        <v>9590561.6553030387</v>
      </c>
      <c r="Z106" s="493">
        <f>+W$29*Y106+X106</f>
        <v>1835218.1545390622</v>
      </c>
      <c r="AA106" s="492">
        <f>+AA105</f>
        <v>6724929.9905303027</v>
      </c>
      <c r="AB106" s="476">
        <f>+AB105</f>
        <v>450833.29545454547</v>
      </c>
      <c r="AC106" s="476">
        <f t="shared" si="14"/>
        <v>6274096.6950757569</v>
      </c>
      <c r="AD106" s="493">
        <f>+AA$29*AC106+AB106</f>
        <v>1197874.5267824244</v>
      </c>
      <c r="AE106" s="492">
        <f>+AE105</f>
        <v>66669.352272727367</v>
      </c>
      <c r="AF106" s="476">
        <f>+AF105</f>
        <v>4597.886363636364</v>
      </c>
      <c r="AG106" s="476">
        <f t="shared" si="15"/>
        <v>62071.465909090999</v>
      </c>
      <c r="AH106" s="493">
        <f>+AE$29*AG106+AF106</f>
        <v>11988.582837831189</v>
      </c>
      <c r="AI106" s="492">
        <f>+AI105</f>
        <v>4679501.0037878826</v>
      </c>
      <c r="AJ106" s="476">
        <f>+AJ105</f>
        <v>295547.43181818182</v>
      </c>
      <c r="AK106" s="476">
        <f t="shared" si="19"/>
        <v>4383953.571969701</v>
      </c>
      <c r="AL106" s="493">
        <f>+AI$29*AK106+AJ106</f>
        <v>817533.97962814581</v>
      </c>
      <c r="AM106" s="492">
        <f>+AM105</f>
        <v>1718437.1930681826</v>
      </c>
      <c r="AN106" s="476">
        <f>+AN105</f>
        <v>110866.91568181818</v>
      </c>
      <c r="AO106" s="476">
        <f t="shared" si="16"/>
        <v>1607570.2773863643</v>
      </c>
      <c r="AP106" s="493">
        <f>+AM$29*AO106+AN106</f>
        <v>302276.34684461111</v>
      </c>
      <c r="AQ106" s="492">
        <f>+AQ105</f>
        <v>14252682.73704545</v>
      </c>
      <c r="AR106" s="476">
        <f>+AR105</f>
        <v>904932.23727272719</v>
      </c>
      <c r="AS106" s="476">
        <f t="shared" si="17"/>
        <v>13347750.499772724</v>
      </c>
      <c r="AT106" s="493">
        <f>+AQ$29*AS106+AR106</f>
        <v>2494215.9945080192</v>
      </c>
      <c r="AU106" s="575"/>
      <c r="AV106" s="575"/>
      <c r="AW106" s="575"/>
      <c r="AX106" s="558"/>
      <c r="AY106" s="575"/>
      <c r="AZ106" s="575"/>
      <c r="BA106" s="575"/>
      <c r="BB106" s="558"/>
      <c r="BC106" s="575"/>
      <c r="BD106" s="575"/>
      <c r="BE106" s="575"/>
      <c r="BF106" s="558"/>
      <c r="BG106" s="575"/>
      <c r="BH106" s="575"/>
      <c r="BI106" s="575"/>
      <c r="BJ106" s="558"/>
      <c r="BK106" s="575"/>
      <c r="BL106" s="575"/>
      <c r="BM106" s="575"/>
      <c r="BN106" s="558"/>
      <c r="BO106" s="575"/>
      <c r="BP106" s="575"/>
      <c r="BQ106" s="575"/>
      <c r="BR106" s="558"/>
      <c r="BS106" s="492">
        <f>+BS105</f>
        <v>132974.18181818211</v>
      </c>
      <c r="BT106" s="476">
        <f>+BT105</f>
        <v>8310.886363636364</v>
      </c>
      <c r="BU106" s="476">
        <f t="shared" si="18"/>
        <v>124663.29545454575</v>
      </c>
      <c r="BV106" s="493">
        <f>+BS$29*BU106+BT106</f>
        <v>23154.237727801232</v>
      </c>
      <c r="BW106" s="492">
        <f>+BW105</f>
        <v>9517880.2500000186</v>
      </c>
      <c r="BX106" s="476">
        <f>+BX105</f>
        <v>576841.22727272729</v>
      </c>
      <c r="BY106" s="476">
        <f t="shared" si="20"/>
        <v>8941039.022727292</v>
      </c>
      <c r="BZ106" s="493">
        <f>+BW$29*BY106+BX106</f>
        <v>1583148.6402649716</v>
      </c>
      <c r="CA106" s="492">
        <f>+CA105</f>
        <v>902695.84000000183</v>
      </c>
      <c r="CB106" s="476">
        <f>+CB105</f>
        <v>54433.919999999998</v>
      </c>
      <c r="CC106" s="476">
        <f t="shared" si="21"/>
        <v>848261.92000000179</v>
      </c>
      <c r="CD106" s="493">
        <f>+CA$29*CC106+CB106</f>
        <v>155434.37632109923</v>
      </c>
      <c r="CE106" s="492">
        <f>+CE105</f>
        <v>76781.722727272921</v>
      </c>
      <c r="CF106" s="476">
        <f>+CF105</f>
        <v>4725.0290909090909</v>
      </c>
      <c r="CG106" s="476">
        <f t="shared" si="22"/>
        <v>72056.693636363838</v>
      </c>
      <c r="CH106" s="493">
        <f>+CE$29*CG106+CF106</f>
        <v>13304.64202256395</v>
      </c>
      <c r="CI106" s="492">
        <f>+CI105</f>
        <v>212226.8181818178</v>
      </c>
      <c r="CJ106" s="476">
        <f>+CJ105</f>
        <v>12362.727272727272</v>
      </c>
      <c r="CK106" s="476">
        <f t="shared" si="23"/>
        <v>199864.09090909053</v>
      </c>
      <c r="CL106" s="493">
        <f>+CI$29*CK106+CJ106</f>
        <v>34857.284757772723</v>
      </c>
      <c r="CM106" s="492">
        <f>+CM105</f>
        <v>10520293.362784099</v>
      </c>
      <c r="CN106" s="476">
        <f>+CN105</f>
        <v>483691.64886363636</v>
      </c>
      <c r="CO106" s="476">
        <f t="shared" si="33"/>
        <v>10036601.713920463</v>
      </c>
      <c r="CP106" s="493">
        <f>+CM$29*CO106+CN106</f>
        <v>1613303.8427368319</v>
      </c>
      <c r="CQ106" s="492">
        <f>+CQ105</f>
        <v>43885757.22392045</v>
      </c>
      <c r="CR106" s="476">
        <f>+CR105</f>
        <v>2017735.9643181816</v>
      </c>
      <c r="CS106" s="476">
        <f t="shared" si="38"/>
        <v>41868021.259602271</v>
      </c>
      <c r="CT106" s="493">
        <f>+CQ$29*CS106+CR106</f>
        <v>6729951.1837975681</v>
      </c>
      <c r="CU106" s="492">
        <f>+CU105</f>
        <v>14876298.195000025</v>
      </c>
      <c r="CV106" s="476">
        <f>+CV105</f>
        <v>676195.37250000006</v>
      </c>
      <c r="CW106" s="476">
        <f t="shared" si="39"/>
        <v>14200102.822500024</v>
      </c>
      <c r="CX106" s="493">
        <f>+CU$29*CW106+CV106</f>
        <v>2274406.5758300442</v>
      </c>
      <c r="CY106" s="492">
        <f>+CY105</f>
        <v>16508.786931818202</v>
      </c>
      <c r="CZ106" s="476">
        <f>+CZ105</f>
        <v>733.72386363636497</v>
      </c>
      <c r="DA106" s="476">
        <f t="shared" si="40"/>
        <v>15775.063068181837</v>
      </c>
      <c r="DB106" s="493">
        <f>+CY$29*DA106+CZ106</f>
        <v>2509.1956925345385</v>
      </c>
      <c r="DC106" s="492">
        <f>+DC105</f>
        <v>990807.46818182012</v>
      </c>
      <c r="DD106" s="476">
        <f>+DD105</f>
        <v>44530.672727272722</v>
      </c>
      <c r="DE106" s="476">
        <f t="shared" si="41"/>
        <v>946276.79545454739</v>
      </c>
      <c r="DF106" s="493">
        <f>+DC$29*DE106+DD106</f>
        <v>151033.43505589443</v>
      </c>
      <c r="DG106" s="492">
        <f>+DG105</f>
        <v>554388.17215908994</v>
      </c>
      <c r="DH106" s="476">
        <f>+DH105</f>
        <v>24639.474318181816</v>
      </c>
      <c r="DI106" s="476">
        <f t="shared" si="42"/>
        <v>529748.69784090808</v>
      </c>
      <c r="DJ106" s="493">
        <f>+DG$29*DI106+DH106</f>
        <v>84262.303421737772</v>
      </c>
      <c r="DK106" s="492">
        <f>+DK105</f>
        <v>12184103.596477278</v>
      </c>
      <c r="DL106" s="476">
        <f>+DL105</f>
        <v>549658.80886363634</v>
      </c>
      <c r="DM106" s="476">
        <f t="shared" si="43"/>
        <v>11634444.787613641</v>
      </c>
      <c r="DN106" s="493">
        <f>+DK$29*DM106+DL106</f>
        <v>1859107.0738879107</v>
      </c>
      <c r="DO106" s="492">
        <f>+DO105</f>
        <v>453897.63950757543</v>
      </c>
      <c r="DP106" s="476">
        <f>+DP105</f>
        <v>19592.703863636354</v>
      </c>
      <c r="DQ106" s="476">
        <f t="shared" si="148"/>
        <v>434304.93564393907</v>
      </c>
      <c r="DR106" s="493">
        <f>+DO$29*DQ106+DP106</f>
        <v>68473.407227830321</v>
      </c>
      <c r="DS106" s="492">
        <f>+DS105</f>
        <v>194950.18909090856</v>
      </c>
      <c r="DT106" s="476">
        <f>+DT105</f>
        <v>8295.7527272726966</v>
      </c>
      <c r="DU106" s="476">
        <f t="shared" si="58"/>
        <v>186654.43636363588</v>
      </c>
      <c r="DV106" s="493">
        <f>+DS$29*DU106+DT106</f>
        <v>29303.573239314421</v>
      </c>
      <c r="DW106" s="492">
        <f>+DW105</f>
        <v>28405.999261363584</v>
      </c>
      <c r="DX106" s="476">
        <f>+DX105</f>
        <v>1221.7634090909089</v>
      </c>
      <c r="DY106" s="476">
        <f t="shared" si="59"/>
        <v>27184.235852272675</v>
      </c>
      <c r="DZ106" s="493">
        <f>+DW$29*DY106+DX106</f>
        <v>4281.3293035172601</v>
      </c>
      <c r="EA106" s="492">
        <f>+EA105</f>
        <v>-170293.87971591024</v>
      </c>
      <c r="EB106" s="476">
        <f>+EB105</f>
        <v>-7120.3015909091364</v>
      </c>
      <c r="EC106" s="476">
        <f t="shared" si="60"/>
        <v>-163173.57812500111</v>
      </c>
      <c r="ED106" s="493">
        <f>+EA$29*EC106+EB106</f>
        <v>-25485.3686546217</v>
      </c>
      <c r="EE106" s="576">
        <f>+EE105</f>
        <v>4892592.4795454629</v>
      </c>
      <c r="EF106" s="580">
        <f>+EF105</f>
        <v>192495.44181818186</v>
      </c>
      <c r="EG106" s="580">
        <f t="shared" si="69"/>
        <v>4700097.0377272815</v>
      </c>
      <c r="EH106" s="493">
        <f>+EE$29*EG106+EF106</f>
        <v>721487.93126211397</v>
      </c>
      <c r="EI106" s="576">
        <f>+EI105</f>
        <v>198818.54109848471</v>
      </c>
      <c r="EJ106" s="580">
        <f>+EJ105</f>
        <v>7696.2015909090906</v>
      </c>
      <c r="EK106" s="580">
        <f t="shared" si="70"/>
        <v>191122.33950757561</v>
      </c>
      <c r="EL106" s="493">
        <f>+EI$29*EK106+EJ106</f>
        <v>29206.88133920393</v>
      </c>
      <c r="EM106" s="576">
        <f>+EM105</f>
        <v>6793187.9304545429</v>
      </c>
      <c r="EN106" s="580">
        <f>+EN105</f>
        <v>261276.45886363636</v>
      </c>
      <c r="EO106" s="580">
        <f t="shared" si="71"/>
        <v>6531911.4715909064</v>
      </c>
      <c r="EP106" s="493">
        <f>+EM$29*EO106+EN106</f>
        <v>996438.32519290422</v>
      </c>
      <c r="EQ106" s="576">
        <f>+EQ105</f>
        <v>13265370.156590894</v>
      </c>
      <c r="ER106" s="580">
        <f>+ER105</f>
        <v>500580.00590909086</v>
      </c>
      <c r="ES106" s="580">
        <f t="shared" si="94"/>
        <v>12764790.150681803</v>
      </c>
      <c r="ET106" s="493">
        <f>+EQ$29*ES106+ER106</f>
        <v>1937247.8161344929</v>
      </c>
      <c r="EU106" s="576">
        <f>+EU105</f>
        <v>17140615.399545453</v>
      </c>
      <c r="EV106" s="580">
        <f>+EV105</f>
        <v>646815.67545454553</v>
      </c>
      <c r="EW106" s="580">
        <f t="shared" si="95"/>
        <v>16493799.724090908</v>
      </c>
      <c r="EX106" s="493">
        <f>+EU$29*EW106+EV106</f>
        <v>2503180.7901321533</v>
      </c>
      <c r="EY106" s="582">
        <f t="shared" si="103"/>
        <v>30049873.136952985</v>
      </c>
      <c r="EZ106" s="579">
        <f>+EY106</f>
        <v>30049873.136952985</v>
      </c>
      <c r="FA106" s="553"/>
      <c r="FD106" s="492"/>
      <c r="FE106" s="476"/>
      <c r="FF106" s="476"/>
      <c r="FG106" s="493"/>
      <c r="FH106" s="492"/>
      <c r="FI106" s="476"/>
      <c r="FJ106" s="476"/>
      <c r="FK106" s="493"/>
      <c r="FL106" s="492"/>
      <c r="FM106" s="476"/>
      <c r="FN106" s="476"/>
      <c r="FO106" s="493"/>
      <c r="FP106" s="492"/>
      <c r="FQ106" s="476"/>
      <c r="FR106" s="476"/>
      <c r="FS106" s="493"/>
      <c r="FT106" s="492"/>
      <c r="FU106" s="476"/>
      <c r="FV106" s="476"/>
      <c r="FW106" s="493"/>
      <c r="FX106" s="492"/>
      <c r="FY106" s="476"/>
      <c r="FZ106" s="476"/>
      <c r="GA106" s="493"/>
      <c r="GB106" s="492"/>
      <c r="GC106" s="476"/>
      <c r="GD106" s="476"/>
      <c r="GE106" s="493"/>
      <c r="GF106" s="492"/>
      <c r="GG106" s="476"/>
      <c r="GH106" s="476"/>
      <c r="GI106" s="493"/>
      <c r="GJ106" s="492"/>
      <c r="GK106" s="476"/>
      <c r="GL106" s="476"/>
      <c r="GM106" s="493"/>
      <c r="GN106" s="492"/>
      <c r="GO106" s="476"/>
      <c r="GP106" s="476"/>
      <c r="GQ106" s="493"/>
      <c r="GR106" s="492"/>
      <c r="GS106" s="476"/>
      <c r="GT106" s="476"/>
      <c r="GU106" s="493"/>
      <c r="GV106" s="492"/>
      <c r="GW106" s="476"/>
      <c r="GX106" s="476"/>
      <c r="GY106" s="493"/>
      <c r="GZ106" s="492"/>
      <c r="HA106" s="476"/>
      <c r="HB106" s="476"/>
      <c r="HC106" s="493"/>
      <c r="HD106" s="576"/>
      <c r="HE106" s="580"/>
      <c r="HF106" s="580"/>
      <c r="HG106" s="918"/>
      <c r="HH106" s="919"/>
      <c r="HI106" s="925"/>
      <c r="HJ106" s="925"/>
      <c r="HK106" s="918"/>
      <c r="HL106" s="919"/>
      <c r="HM106" s="925"/>
      <c r="HN106" s="925"/>
      <c r="HO106" s="918"/>
      <c r="HP106" s="919"/>
      <c r="HQ106" s="925"/>
      <c r="HR106" s="925"/>
      <c r="HS106" s="918"/>
      <c r="HT106" s="919"/>
      <c r="HU106" s="925"/>
      <c r="HV106" s="925"/>
      <c r="HW106" s="918"/>
      <c r="HY106" s="492"/>
      <c r="HZ106" s="476"/>
      <c r="IA106" s="476"/>
      <c r="IB106" s="493"/>
      <c r="IC106" s="492"/>
      <c r="ID106" s="476"/>
      <c r="IE106" s="476"/>
      <c r="IF106" s="493"/>
      <c r="IG106" s="492"/>
      <c r="IH106" s="476"/>
      <c r="II106" s="476"/>
      <c r="IJ106" s="493"/>
    </row>
    <row r="107" spans="1:244">
      <c r="A107" s="554" t="s">
        <v>24</v>
      </c>
      <c r="B107" s="574">
        <v>2040</v>
      </c>
      <c r="C107" s="575">
        <f>+E106</f>
        <v>5683847.7971590832</v>
      </c>
      <c r="D107" s="575">
        <f>+C$31</f>
        <v>445791.98409090913</v>
      </c>
      <c r="E107" s="575">
        <f t="shared" si="6"/>
        <v>5238055.8130681738</v>
      </c>
      <c r="F107" s="558">
        <f>+C$28*E107+D107</f>
        <v>1035331.3408657748</v>
      </c>
      <c r="G107" s="575">
        <f>+I106</f>
        <v>1448009.3693181798</v>
      </c>
      <c r="H107" s="575">
        <f>+G$31</f>
        <v>115840.74954545456</v>
      </c>
      <c r="I107" s="575">
        <f t="shared" si="7"/>
        <v>1332168.6197727253</v>
      </c>
      <c r="J107" s="558">
        <f>+G$28*I107+H107</f>
        <v>265775.35491126636</v>
      </c>
      <c r="K107" s="576">
        <f>+M106</f>
        <v>3588682.1933522699</v>
      </c>
      <c r="L107" s="575">
        <f>+K$31</f>
        <v>305419.76113636367</v>
      </c>
      <c r="M107" s="575">
        <f t="shared" si="8"/>
        <v>3283262.4322159062</v>
      </c>
      <c r="N107" s="558">
        <f>+K$28*M107+L107</f>
        <v>674948.55034524912</v>
      </c>
      <c r="O107" s="576">
        <f>+Q106</f>
        <v>1650542.4015151476</v>
      </c>
      <c r="P107" s="575">
        <f>+O$31</f>
        <v>119316.31818181818</v>
      </c>
      <c r="Q107" s="575">
        <f t="shared" si="11"/>
        <v>1531226.0833333295</v>
      </c>
      <c r="R107" s="558">
        <f>+O$28*Q107+P107</f>
        <v>291654.6957136268</v>
      </c>
      <c r="S107" s="492">
        <f>+U106</f>
        <v>709507.74969696649</v>
      </c>
      <c r="T107" s="476">
        <f>+S$31</f>
        <v>58315.705454545445</v>
      </c>
      <c r="U107" s="476">
        <f t="shared" si="12"/>
        <v>651192.04424242105</v>
      </c>
      <c r="V107" s="493">
        <f>+S$28*U107+T107</f>
        <v>131606.89451400616</v>
      </c>
      <c r="W107" s="492">
        <f>+Y106</f>
        <v>9590561.6553030387</v>
      </c>
      <c r="X107" s="476">
        <f>+W$31</f>
        <v>693293.61363636365</v>
      </c>
      <c r="Y107" s="476">
        <f t="shared" si="13"/>
        <v>8897268.0416666754</v>
      </c>
      <c r="Z107" s="493">
        <f>+W$28*Y107+X107</f>
        <v>1694674.6346731228</v>
      </c>
      <c r="AA107" s="492">
        <f>+AC106</f>
        <v>6274096.6950757569</v>
      </c>
      <c r="AB107" s="476">
        <f>+AA$31</f>
        <v>450833.29545454547</v>
      </c>
      <c r="AC107" s="476">
        <f t="shared" si="14"/>
        <v>5823263.399621211</v>
      </c>
      <c r="AD107" s="493">
        <f>+AA$28*AC107+AB107</f>
        <v>1106237.3387597681</v>
      </c>
      <c r="AE107" s="492">
        <f>+AG106</f>
        <v>62071.465909090999</v>
      </c>
      <c r="AF107" s="476">
        <f>+AE$31</f>
        <v>4597.886363636364</v>
      </c>
      <c r="AG107" s="476">
        <f t="shared" si="15"/>
        <v>57473.579545454631</v>
      </c>
      <c r="AH107" s="493">
        <f>+AE$28*AG107+AF107</f>
        <v>11066.495772540235</v>
      </c>
      <c r="AI107" s="492">
        <f>+AK106</f>
        <v>4383953.571969701</v>
      </c>
      <c r="AJ107" s="476">
        <f>+AI$31</f>
        <v>295547.43181818182</v>
      </c>
      <c r="AK107" s="476">
        <f t="shared" si="19"/>
        <v>4088406.1401515193</v>
      </c>
      <c r="AL107" s="493">
        <f>+AI$28*AK107+AJ107</f>
        <v>755694.55741505977</v>
      </c>
      <c r="AM107" s="492">
        <f>+AO106</f>
        <v>1607570.2773863643</v>
      </c>
      <c r="AN107" s="476">
        <f>+AM$31</f>
        <v>110866.91568181818</v>
      </c>
      <c r="AO107" s="476">
        <f t="shared" si="16"/>
        <v>1496703.361704546</v>
      </c>
      <c r="AP107" s="493">
        <f>+AM$28*AO107+AN107</f>
        <v>279319.78610383731</v>
      </c>
      <c r="AQ107" s="492">
        <f>+AS106</f>
        <v>13347750.499772724</v>
      </c>
      <c r="AR107" s="476">
        <f>+AQ$31</f>
        <v>904932.23727272719</v>
      </c>
      <c r="AS107" s="476">
        <f t="shared" si="17"/>
        <v>12442818.262499997</v>
      </c>
      <c r="AT107" s="493">
        <f>+AQ$28*AS107+AR107</f>
        <v>2305362.3465968273</v>
      </c>
      <c r="AU107" s="575"/>
      <c r="AV107" s="575"/>
      <c r="AW107" s="575"/>
      <c r="AX107" s="558"/>
      <c r="AY107" s="575"/>
      <c r="AZ107" s="575"/>
      <c r="BA107" s="575"/>
      <c r="BB107" s="558"/>
      <c r="BC107" s="575"/>
      <c r="BD107" s="575"/>
      <c r="BE107" s="575"/>
      <c r="BF107" s="558"/>
      <c r="BG107" s="575"/>
      <c r="BH107" s="575"/>
      <c r="BI107" s="575"/>
      <c r="BJ107" s="558"/>
      <c r="BK107" s="575"/>
      <c r="BL107" s="575"/>
      <c r="BM107" s="575"/>
      <c r="BN107" s="558"/>
      <c r="BO107" s="575"/>
      <c r="BP107" s="575"/>
      <c r="BQ107" s="575"/>
      <c r="BR107" s="558"/>
      <c r="BS107" s="492">
        <f>+BU106</f>
        <v>124663.29545454575</v>
      </c>
      <c r="BT107" s="476">
        <f>+BS$31</f>
        <v>8310.886363636364</v>
      </c>
      <c r="BU107" s="476">
        <f t="shared" si="18"/>
        <v>116352.40909090938</v>
      </c>
      <c r="BV107" s="493">
        <f>+BS$28*BU107+BT107</f>
        <v>21406.265042788284</v>
      </c>
      <c r="BW107" s="492">
        <f>+BY106</f>
        <v>8941039.022727292</v>
      </c>
      <c r="BX107" s="476">
        <f>+BW$31</f>
        <v>576841.22727272729</v>
      </c>
      <c r="BY107" s="476">
        <f t="shared" si="20"/>
        <v>8364197.7954545645</v>
      </c>
      <c r="BZ107" s="493">
        <f>+BW$28*BY107+BX107</f>
        <v>1518225.5813622463</v>
      </c>
      <c r="CA107" s="492">
        <f>+CC106</f>
        <v>848261.92000000179</v>
      </c>
      <c r="CB107" s="476">
        <f>+CA$31</f>
        <v>54433.919999999998</v>
      </c>
      <c r="CC107" s="476">
        <f t="shared" si="21"/>
        <v>793828.00000000175</v>
      </c>
      <c r="CD107" s="493">
        <f>+CA$28*CC107+CB107</f>
        <v>143778.68172290991</v>
      </c>
      <c r="CE107" s="492">
        <f>+CG106</f>
        <v>72056.693636363838</v>
      </c>
      <c r="CF107" s="476">
        <f>+CE$31</f>
        <v>4725.0290909090909</v>
      </c>
      <c r="CG107" s="476">
        <f t="shared" si="22"/>
        <v>67331.664545454754</v>
      </c>
      <c r="CH107" s="493">
        <f>+CE$28*CG107+CF107</f>
        <v>12303.158767892697</v>
      </c>
      <c r="CI107" s="492">
        <f>+CK106</f>
        <v>199864.09090909053</v>
      </c>
      <c r="CJ107" s="476">
        <f>+CI$31</f>
        <v>12362.727272727272</v>
      </c>
      <c r="CK107" s="476">
        <f t="shared" si="23"/>
        <v>187501.36363636327</v>
      </c>
      <c r="CL107" s="493">
        <f>+CI$28*CK107+CJ107</f>
        <v>33465.868830862688</v>
      </c>
      <c r="CM107" s="492">
        <f>+CO106</f>
        <v>10036601.713920463</v>
      </c>
      <c r="CN107" s="476">
        <f>+CM$31</f>
        <v>483691.64886363636</v>
      </c>
      <c r="CO107" s="476">
        <f t="shared" si="33"/>
        <v>9552910.0650568269</v>
      </c>
      <c r="CP107" s="493">
        <f>+CM$28*CO107+CN107</f>
        <v>1558864.7008634249</v>
      </c>
      <c r="CQ107" s="492">
        <f>+CS106</f>
        <v>41868021.259602271</v>
      </c>
      <c r="CR107" s="476">
        <f>+CQ$31</f>
        <v>2017735.9643181816</v>
      </c>
      <c r="CS107" s="476">
        <f t="shared" si="38"/>
        <v>39850285.295284092</v>
      </c>
      <c r="CT107" s="493">
        <f>+CQ$28*CS107+CR107</f>
        <v>6502856.4744250681</v>
      </c>
      <c r="CU107" s="492">
        <f>+CW106</f>
        <v>14200102.822500024</v>
      </c>
      <c r="CV107" s="476">
        <f>+CU$31</f>
        <v>676195.37250000006</v>
      </c>
      <c r="CW107" s="476">
        <f t="shared" si="39"/>
        <v>13523907.450000023</v>
      </c>
      <c r="CX107" s="493">
        <f>+CU$28*CW107+CV107</f>
        <v>2198301.2804333754</v>
      </c>
      <c r="CY107" s="492">
        <f>+DA106</f>
        <v>15775.063068181837</v>
      </c>
      <c r="CZ107" s="476">
        <f>+CY$31</f>
        <v>733.72386363636497</v>
      </c>
      <c r="DA107" s="476">
        <f t="shared" si="40"/>
        <v>15041.339204545471</v>
      </c>
      <c r="DB107" s="493">
        <f>+CY$28*DA107+CZ107</f>
        <v>2426.6156074695068</v>
      </c>
      <c r="DC107" s="492">
        <f>+DE106</f>
        <v>946276.79545454739</v>
      </c>
      <c r="DD107" s="476">
        <f>+DC$31</f>
        <v>44530.672727272722</v>
      </c>
      <c r="DE107" s="476">
        <f t="shared" si="41"/>
        <v>901746.12272727466</v>
      </c>
      <c r="DF107" s="493">
        <f>+DC$28*DE107+DD107</f>
        <v>146021.54035807695</v>
      </c>
      <c r="DG107" s="492">
        <f>+DI106</f>
        <v>529748.69784090808</v>
      </c>
      <c r="DH107" s="476">
        <f>+DG$31</f>
        <v>24639.474318181816</v>
      </c>
      <c r="DI107" s="476">
        <f t="shared" si="42"/>
        <v>505109.22352272627</v>
      </c>
      <c r="DJ107" s="493">
        <f>+DG$28*DI107+DH107</f>
        <v>81489.148579711909</v>
      </c>
      <c r="DK107" s="492">
        <f>+DM106</f>
        <v>11634444.787613641</v>
      </c>
      <c r="DL107" s="476">
        <f>+DK$31</f>
        <v>549658.80886363634</v>
      </c>
      <c r="DM107" s="476">
        <f t="shared" si="43"/>
        <v>11084785.978750005</v>
      </c>
      <c r="DN107" s="493">
        <f>+DK$28*DM107+DL107</f>
        <v>1797243.3763277088</v>
      </c>
      <c r="DO107" s="492">
        <f>+DQ106</f>
        <v>434304.93564393907</v>
      </c>
      <c r="DP107" s="476">
        <f>+DO$31</f>
        <v>19592.703863636354</v>
      </c>
      <c r="DQ107" s="476">
        <f t="shared" si="148"/>
        <v>414712.23178030271</v>
      </c>
      <c r="DR107" s="493">
        <f>+DO$28*DQ107+DP107</f>
        <v>66268.262715159915</v>
      </c>
      <c r="DS107" s="492">
        <f>+DU106</f>
        <v>186654.43636363588</v>
      </c>
      <c r="DT107" s="476">
        <f>+DS$31</f>
        <v>8295.7527272726966</v>
      </c>
      <c r="DU107" s="476">
        <f t="shared" si="58"/>
        <v>178358.68363636319</v>
      </c>
      <c r="DV107" s="493">
        <f>+DS$28*DU107+DT107</f>
        <v>28369.892327668123</v>
      </c>
      <c r="DW107" s="492">
        <f>+DY106</f>
        <v>27184.235852272675</v>
      </c>
      <c r="DX107" s="476">
        <f>+DW$31</f>
        <v>1221.7634090909089</v>
      </c>
      <c r="DY107" s="476">
        <f t="shared" si="59"/>
        <v>25962.472443181767</v>
      </c>
      <c r="DZ107" s="493">
        <f>+DW$28*DY107+DX107</f>
        <v>4143.8207239924795</v>
      </c>
      <c r="EA107" s="492">
        <f>+EC106</f>
        <v>-163173.57812500111</v>
      </c>
      <c r="EB107" s="476">
        <f>+EA$31</f>
        <v>-7120.3015909091364</v>
      </c>
      <c r="EC107" s="476">
        <f t="shared" si="60"/>
        <v>-156053.27653409197</v>
      </c>
      <c r="ED107" s="493">
        <f>+EA$28*EC107+EB107</f>
        <v>-24683.983910023333</v>
      </c>
      <c r="EE107" s="576">
        <f>+EG106</f>
        <v>4700097.0377272815</v>
      </c>
      <c r="EF107" s="580">
        <f>+EE$31</f>
        <v>192495.44181818186</v>
      </c>
      <c r="EG107" s="580">
        <f t="shared" si="69"/>
        <v>4507601.5959091</v>
      </c>
      <c r="EH107" s="493">
        <f>+EE$28*EG107+EF107</f>
        <v>699822.70985144109</v>
      </c>
      <c r="EI107" s="576">
        <f>+EK106</f>
        <v>191122.33950757561</v>
      </c>
      <c r="EJ107" s="580">
        <f>+EI$31</f>
        <v>7696.2015909090906</v>
      </c>
      <c r="EK107" s="580">
        <f t="shared" si="70"/>
        <v>183426.13791666651</v>
      </c>
      <c r="EL107" s="493">
        <f>+EI$28*EK107+EJ107</f>
        <v>28340.679470145074</v>
      </c>
      <c r="EM107" s="576">
        <f>+EO106</f>
        <v>6531911.4715909064</v>
      </c>
      <c r="EN107" s="580">
        <f>+EM$31</f>
        <v>261276.45886363636</v>
      </c>
      <c r="EO107" s="580">
        <f t="shared" si="71"/>
        <v>6270635.0127272699</v>
      </c>
      <c r="EP107" s="493">
        <f>+EM$28*EO107+EN107</f>
        <v>967031.85053973342</v>
      </c>
      <c r="EQ107" s="576">
        <f>+ES106</f>
        <v>12764790.150681803</v>
      </c>
      <c r="ER107" s="580">
        <f>+EQ$31</f>
        <v>500580.00590909086</v>
      </c>
      <c r="ES107" s="580">
        <f t="shared" si="94"/>
        <v>12264210.144772712</v>
      </c>
      <c r="ET107" s="493">
        <f>+EQ$28*ES107+ER107</f>
        <v>1880907.9020080063</v>
      </c>
      <c r="EU107" s="576">
        <f>+EW106</f>
        <v>16493799.724090908</v>
      </c>
      <c r="EV107" s="580">
        <f>+EU$31</f>
        <v>646815.67545454553</v>
      </c>
      <c r="EW107" s="580">
        <f t="shared" si="95"/>
        <v>15846984.048636362</v>
      </c>
      <c r="EX107" s="493">
        <f>+EU$28*EW107+EV107</f>
        <v>2430382.1581840115</v>
      </c>
      <c r="EY107" s="582">
        <f t="shared" si="103"/>
        <v>28648637.979902741</v>
      </c>
      <c r="EZ107" s="557"/>
      <c r="FA107" s="578">
        <f>+EY107</f>
        <v>28648637.979902741</v>
      </c>
      <c r="FD107" s="492"/>
      <c r="FE107" s="476"/>
      <c r="FF107" s="476"/>
      <c r="FG107" s="493"/>
      <c r="FH107" s="492"/>
      <c r="FI107" s="476"/>
      <c r="FJ107" s="476"/>
      <c r="FK107" s="493"/>
      <c r="FL107" s="492"/>
      <c r="FM107" s="476"/>
      <c r="FN107" s="476"/>
      <c r="FO107" s="493"/>
      <c r="FP107" s="492"/>
      <c r="FQ107" s="476"/>
      <c r="FR107" s="476"/>
      <c r="FS107" s="493"/>
      <c r="FT107" s="492"/>
      <c r="FU107" s="476"/>
      <c r="FV107" s="476"/>
      <c r="FW107" s="493"/>
      <c r="FX107" s="492"/>
      <c r="FY107" s="476"/>
      <c r="FZ107" s="476"/>
      <c r="GA107" s="493"/>
      <c r="GB107" s="492"/>
      <c r="GC107" s="476"/>
      <c r="GD107" s="476"/>
      <c r="GE107" s="493"/>
      <c r="GF107" s="492"/>
      <c r="GG107" s="476"/>
      <c r="GH107" s="476"/>
      <c r="GI107" s="493"/>
      <c r="GJ107" s="492"/>
      <c r="GK107" s="476"/>
      <c r="GL107" s="476"/>
      <c r="GM107" s="493"/>
      <c r="GN107" s="492"/>
      <c r="GO107" s="476"/>
      <c r="GP107" s="476"/>
      <c r="GQ107" s="493"/>
      <c r="GR107" s="492"/>
      <c r="GS107" s="476"/>
      <c r="GT107" s="476"/>
      <c r="GU107" s="493"/>
      <c r="GV107" s="492"/>
      <c r="GW107" s="476"/>
      <c r="GX107" s="476"/>
      <c r="GY107" s="493"/>
      <c r="GZ107" s="492"/>
      <c r="HA107" s="476"/>
      <c r="HB107" s="476"/>
      <c r="HC107" s="493"/>
      <c r="HD107" s="576"/>
      <c r="HE107" s="580"/>
      <c r="HF107" s="580"/>
      <c r="HG107" s="918"/>
      <c r="HH107" s="919"/>
      <c r="HI107" s="925"/>
      <c r="HJ107" s="925"/>
      <c r="HK107" s="918"/>
      <c r="HL107" s="919"/>
      <c r="HM107" s="925"/>
      <c r="HN107" s="925"/>
      <c r="HO107" s="918"/>
      <c r="HP107" s="919"/>
      <c r="HQ107" s="925"/>
      <c r="HR107" s="925"/>
      <c r="HS107" s="918"/>
      <c r="HT107" s="919"/>
      <c r="HU107" s="925"/>
      <c r="HV107" s="925"/>
      <c r="HW107" s="918"/>
      <c r="HY107" s="492"/>
      <c r="HZ107" s="476"/>
      <c r="IA107" s="476"/>
      <c r="IB107" s="493"/>
      <c r="IC107" s="492"/>
      <c r="ID107" s="476"/>
      <c r="IE107" s="476"/>
      <c r="IF107" s="493"/>
      <c r="IG107" s="492"/>
      <c r="IH107" s="476"/>
      <c r="II107" s="476"/>
      <c r="IJ107" s="493"/>
    </row>
    <row r="108" spans="1:244">
      <c r="A108" s="554" t="s">
        <v>23</v>
      </c>
      <c r="B108" s="574">
        <v>2040</v>
      </c>
      <c r="C108" s="575">
        <f>+C107</f>
        <v>5683847.7971590832</v>
      </c>
      <c r="D108" s="575">
        <f>+D107</f>
        <v>445791.98409090913</v>
      </c>
      <c r="E108" s="575">
        <f t="shared" si="6"/>
        <v>5238055.8130681738</v>
      </c>
      <c r="F108" s="558">
        <f>+C$29*E108+D108</f>
        <v>1069474.3808620279</v>
      </c>
      <c r="G108" s="575">
        <f>+G107</f>
        <v>1448009.3693181798</v>
      </c>
      <c r="H108" s="575">
        <f>+H107</f>
        <v>115840.74954545456</v>
      </c>
      <c r="I108" s="575">
        <f t="shared" si="7"/>
        <v>1332168.6197727253</v>
      </c>
      <c r="J108" s="558">
        <f>+G$29*I108+H108</f>
        <v>274458.78404792747</v>
      </c>
      <c r="K108" s="576">
        <f>+K107</f>
        <v>3588682.1933522699</v>
      </c>
      <c r="L108" s="575">
        <f>+L107</f>
        <v>305419.76113636367</v>
      </c>
      <c r="M108" s="575">
        <f t="shared" si="8"/>
        <v>3283262.4322159062</v>
      </c>
      <c r="N108" s="558">
        <f>+K$29*M108+L108</f>
        <v>696349.72752661258</v>
      </c>
      <c r="O108" s="576">
        <f>+O107</f>
        <v>1650542.4015151476</v>
      </c>
      <c r="P108" s="575">
        <f>+P107</f>
        <v>119316.31818181818</v>
      </c>
      <c r="Q108" s="575">
        <f t="shared" si="11"/>
        <v>1531226.0833333295</v>
      </c>
      <c r="R108" s="558">
        <f>+O$29*Q108+P108</f>
        <v>301635.63430464431</v>
      </c>
      <c r="S108" s="492">
        <f>+S107</f>
        <v>709507.74969696649</v>
      </c>
      <c r="T108" s="476">
        <f>+T107</f>
        <v>58315.705454545445</v>
      </c>
      <c r="U108" s="476">
        <f t="shared" si="12"/>
        <v>651192.04424242105</v>
      </c>
      <c r="V108" s="493">
        <f>+S$29*U108+T108</f>
        <v>135851.53733670025</v>
      </c>
      <c r="W108" s="492">
        <f>+W107</f>
        <v>9590561.6553030387</v>
      </c>
      <c r="X108" s="476">
        <f>+X107</f>
        <v>693293.61363636365</v>
      </c>
      <c r="Y108" s="476">
        <f t="shared" si="13"/>
        <v>8897268.0416666754</v>
      </c>
      <c r="Z108" s="493">
        <f>+W$29*Y108+X108</f>
        <v>1752669.3925460964</v>
      </c>
      <c r="AA108" s="492">
        <f>+AA107</f>
        <v>6274096.6950757569</v>
      </c>
      <c r="AB108" s="476">
        <f>+AB107</f>
        <v>450833.29545454547</v>
      </c>
      <c r="AC108" s="476">
        <f t="shared" si="14"/>
        <v>5823263.399621211</v>
      </c>
      <c r="AD108" s="493">
        <f>+AA$29*AC108+AB108</f>
        <v>1144194.9173456905</v>
      </c>
      <c r="AE108" s="492">
        <f>+AE107</f>
        <v>62071.465909090999</v>
      </c>
      <c r="AF108" s="476">
        <f>+AF107</f>
        <v>4597.886363636364</v>
      </c>
      <c r="AG108" s="476">
        <f t="shared" si="15"/>
        <v>57473.579545454631</v>
      </c>
      <c r="AH108" s="493">
        <f>+AE$29*AG108+AF108</f>
        <v>11441.123839742682</v>
      </c>
      <c r="AI108" s="492">
        <f>+AI107</f>
        <v>4383953.571969701</v>
      </c>
      <c r="AJ108" s="476">
        <f>+AJ107</f>
        <v>295547.43181818182</v>
      </c>
      <c r="AK108" s="476">
        <f t="shared" si="19"/>
        <v>4088406.1401515193</v>
      </c>
      <c r="AL108" s="493">
        <f>+AI$29*AK108+AJ108</f>
        <v>782343.87528140668</v>
      </c>
      <c r="AM108" s="492">
        <f>+AM107</f>
        <v>1607570.2773863643</v>
      </c>
      <c r="AN108" s="476">
        <f>+AN107</f>
        <v>110866.91568181818</v>
      </c>
      <c r="AO108" s="476">
        <f t="shared" si="16"/>
        <v>1496703.361704546</v>
      </c>
      <c r="AP108" s="493">
        <f>+AM$29*AO108+AN108</f>
        <v>289075.69641959085</v>
      </c>
      <c r="AQ108" s="492">
        <f>+AQ107</f>
        <v>13347750.499772724</v>
      </c>
      <c r="AR108" s="476">
        <f>+AR107</f>
        <v>904932.23727272719</v>
      </c>
      <c r="AS108" s="476">
        <f t="shared" si="17"/>
        <v>12442818.262499997</v>
      </c>
      <c r="AT108" s="493">
        <f>+AQ$29*AS108+AR108</f>
        <v>2386467.9431700334</v>
      </c>
      <c r="AU108" s="575"/>
      <c r="AV108" s="575"/>
      <c r="AW108" s="575"/>
      <c r="AX108" s="558"/>
      <c r="AY108" s="575"/>
      <c r="AZ108" s="575"/>
      <c r="BA108" s="575"/>
      <c r="BB108" s="558"/>
      <c r="BC108" s="575"/>
      <c r="BD108" s="575"/>
      <c r="BE108" s="575"/>
      <c r="BF108" s="558"/>
      <c r="BG108" s="575"/>
      <c r="BH108" s="575"/>
      <c r="BI108" s="575"/>
      <c r="BJ108" s="558"/>
      <c r="BK108" s="575"/>
      <c r="BL108" s="575"/>
      <c r="BM108" s="575"/>
      <c r="BN108" s="558"/>
      <c r="BO108" s="575"/>
      <c r="BP108" s="575"/>
      <c r="BQ108" s="575"/>
      <c r="BR108" s="558"/>
      <c r="BS108" s="492">
        <f>+BS107</f>
        <v>124663.29545454575</v>
      </c>
      <c r="BT108" s="476">
        <f>+BT107</f>
        <v>8310.886363636364</v>
      </c>
      <c r="BU108" s="476">
        <f t="shared" si="18"/>
        <v>116352.40909090938</v>
      </c>
      <c r="BV108" s="493">
        <f>+BS$29*BU108+BT108</f>
        <v>22164.680970190242</v>
      </c>
      <c r="BW108" s="492">
        <f>+BW107</f>
        <v>8941039.022727292</v>
      </c>
      <c r="BX108" s="476">
        <f>+BX107</f>
        <v>576841.22727272729</v>
      </c>
      <c r="BY108" s="476">
        <f t="shared" si="20"/>
        <v>8364197.7954545645</v>
      </c>
      <c r="BZ108" s="493">
        <f>+BW$29*BY108+BX108</f>
        <v>1518225.5813622463</v>
      </c>
      <c r="CA108" s="492">
        <f>+CA107</f>
        <v>848261.92000000179</v>
      </c>
      <c r="CB108" s="476">
        <f>+CB107</f>
        <v>54433.919999999998</v>
      </c>
      <c r="CC108" s="476">
        <f t="shared" si="21"/>
        <v>793828.00000000175</v>
      </c>
      <c r="CD108" s="493">
        <f>+CA$29*CC108+CB108</f>
        <v>148953.06361600198</v>
      </c>
      <c r="CE108" s="492">
        <f>+CE107</f>
        <v>72056.693636363838</v>
      </c>
      <c r="CF108" s="476">
        <f>+CF107</f>
        <v>4725.0290909090909</v>
      </c>
      <c r="CG108" s="476">
        <f t="shared" si="22"/>
        <v>67331.664545454754</v>
      </c>
      <c r="CH108" s="493">
        <f>+CE$29*CG108+CF108</f>
        <v>12742.04445327511</v>
      </c>
      <c r="CI108" s="492">
        <f>+CI107</f>
        <v>199864.09090909053</v>
      </c>
      <c r="CJ108" s="476">
        <f>+CJ107</f>
        <v>12362.727272727272</v>
      </c>
      <c r="CK108" s="476">
        <f t="shared" si="23"/>
        <v>187501.36363636327</v>
      </c>
      <c r="CL108" s="493">
        <f>+CI$29*CK108+CJ108</f>
        <v>33465.868830862688</v>
      </c>
      <c r="CM108" s="492">
        <f>+CM107</f>
        <v>10036601.713920463</v>
      </c>
      <c r="CN108" s="476">
        <f>+CN107</f>
        <v>483691.64886363636</v>
      </c>
      <c r="CO108" s="476">
        <f t="shared" si="33"/>
        <v>9552910.0650568269</v>
      </c>
      <c r="CP108" s="493">
        <f>+CM$29*CO108+CN108</f>
        <v>1558864.7008634249</v>
      </c>
      <c r="CQ108" s="492">
        <f>+CQ107</f>
        <v>41868021.259602271</v>
      </c>
      <c r="CR108" s="476">
        <f>+CR107</f>
        <v>2017735.9643181816</v>
      </c>
      <c r="CS108" s="476">
        <f t="shared" si="38"/>
        <v>39850285.295284092</v>
      </c>
      <c r="CT108" s="493">
        <f>+CQ$29*CS108+CR108</f>
        <v>6502856.4744250681</v>
      </c>
      <c r="CU108" s="492">
        <f>+CU107</f>
        <v>14200102.822500024</v>
      </c>
      <c r="CV108" s="476">
        <f>+CV107</f>
        <v>676195.37250000006</v>
      </c>
      <c r="CW108" s="476">
        <f t="shared" si="39"/>
        <v>13523907.450000023</v>
      </c>
      <c r="CX108" s="493">
        <f>+CU$29*CW108+CV108</f>
        <v>2198301.2804333754</v>
      </c>
      <c r="CY108" s="492">
        <f>+CY107</f>
        <v>15775.063068181837</v>
      </c>
      <c r="CZ108" s="476">
        <f>+CZ107</f>
        <v>733.72386363636497</v>
      </c>
      <c r="DA108" s="476">
        <f t="shared" si="40"/>
        <v>15041.339204545471</v>
      </c>
      <c r="DB108" s="493">
        <f>+CY$29*DA108+CZ108</f>
        <v>2426.6156074695068</v>
      </c>
      <c r="DC108" s="492">
        <f>+DC107</f>
        <v>946276.79545454739</v>
      </c>
      <c r="DD108" s="476">
        <f>+DD107</f>
        <v>44530.672727272722</v>
      </c>
      <c r="DE108" s="476">
        <f t="shared" si="41"/>
        <v>901746.12272727466</v>
      </c>
      <c r="DF108" s="493">
        <f>+DC$29*DE108+DD108</f>
        <v>146021.54035807695</v>
      </c>
      <c r="DG108" s="492">
        <f>+DG107</f>
        <v>529748.69784090808</v>
      </c>
      <c r="DH108" s="476">
        <f>+DH107</f>
        <v>24639.474318181816</v>
      </c>
      <c r="DI108" s="476">
        <f t="shared" si="42"/>
        <v>505109.22352272627</v>
      </c>
      <c r="DJ108" s="493">
        <f>+DG$29*DI108+DH108</f>
        <v>81489.148579711909</v>
      </c>
      <c r="DK108" s="492">
        <f>+DK107</f>
        <v>11634444.787613641</v>
      </c>
      <c r="DL108" s="476">
        <f>+DL107</f>
        <v>549658.80886363634</v>
      </c>
      <c r="DM108" s="476">
        <f t="shared" si="43"/>
        <v>11084785.978750005</v>
      </c>
      <c r="DN108" s="493">
        <f>+DK$29*DM108+DL108</f>
        <v>1797243.3763277088</v>
      </c>
      <c r="DO108" s="492">
        <f>+DO107</f>
        <v>434304.93564393907</v>
      </c>
      <c r="DP108" s="476">
        <f>+DP107</f>
        <v>19592.703863636354</v>
      </c>
      <c r="DQ108" s="476">
        <f t="shared" si="148"/>
        <v>414712.23178030271</v>
      </c>
      <c r="DR108" s="493">
        <f>+DO$29*DQ108+DP108</f>
        <v>66268.262715159915</v>
      </c>
      <c r="DS108" s="492">
        <f>+DS107</f>
        <v>186654.43636363588</v>
      </c>
      <c r="DT108" s="476">
        <f>+DT107</f>
        <v>8295.7527272726966</v>
      </c>
      <c r="DU108" s="476">
        <f t="shared" si="58"/>
        <v>178358.68363636319</v>
      </c>
      <c r="DV108" s="493">
        <f>+DS$29*DU108+DT108</f>
        <v>28369.892327668123</v>
      </c>
      <c r="DW108" s="492">
        <f>+DW107</f>
        <v>27184.235852272675</v>
      </c>
      <c r="DX108" s="476">
        <f>+DX107</f>
        <v>1221.7634090909089</v>
      </c>
      <c r="DY108" s="476">
        <f t="shared" si="59"/>
        <v>25962.472443181767</v>
      </c>
      <c r="DZ108" s="493">
        <f>+DW$29*DY108+DX108</f>
        <v>4143.8207239924795</v>
      </c>
      <c r="EA108" s="492">
        <f>+EA107</f>
        <v>-163173.57812500111</v>
      </c>
      <c r="EB108" s="476">
        <f>+EB107</f>
        <v>-7120.3015909091364</v>
      </c>
      <c r="EC108" s="476">
        <f t="shared" si="60"/>
        <v>-156053.27653409197</v>
      </c>
      <c r="ED108" s="493">
        <f>+EA$29*EC108+EB108</f>
        <v>-24683.983910023333</v>
      </c>
      <c r="EE108" s="576">
        <f>+EE107</f>
        <v>4700097.0377272815</v>
      </c>
      <c r="EF108" s="580">
        <f>+EF107</f>
        <v>192495.44181818186</v>
      </c>
      <c r="EG108" s="580">
        <f t="shared" si="69"/>
        <v>4507601.5959091</v>
      </c>
      <c r="EH108" s="493">
        <f>+EE$29*EG108+EF108</f>
        <v>699822.70985144109</v>
      </c>
      <c r="EI108" s="576">
        <f>+EI107</f>
        <v>191122.33950757561</v>
      </c>
      <c r="EJ108" s="580">
        <f>+EJ107</f>
        <v>7696.2015909090906</v>
      </c>
      <c r="EK108" s="580">
        <f t="shared" si="70"/>
        <v>183426.13791666651</v>
      </c>
      <c r="EL108" s="493">
        <f>+EI$29*EK108+EJ108</f>
        <v>28340.679470145074</v>
      </c>
      <c r="EM108" s="576">
        <f>+EM107</f>
        <v>6531911.4715909064</v>
      </c>
      <c r="EN108" s="580">
        <f>+EN107</f>
        <v>261276.45886363636</v>
      </c>
      <c r="EO108" s="580">
        <f t="shared" si="71"/>
        <v>6270635.0127272699</v>
      </c>
      <c r="EP108" s="493">
        <f>+EM$29*EO108+EN108</f>
        <v>967031.85053973342</v>
      </c>
      <c r="EQ108" s="576">
        <f>+EQ107</f>
        <v>12764790.150681803</v>
      </c>
      <c r="ER108" s="580">
        <f>+ER107</f>
        <v>500580.00590909086</v>
      </c>
      <c r="ES108" s="580">
        <f t="shared" si="94"/>
        <v>12264210.144772712</v>
      </c>
      <c r="ET108" s="493">
        <f>+EQ$29*ES108+ER108</f>
        <v>1880907.9020080063</v>
      </c>
      <c r="EU108" s="576">
        <f>+EU107</f>
        <v>16493799.724090908</v>
      </c>
      <c r="EV108" s="580">
        <f>+EV107</f>
        <v>646815.67545454553</v>
      </c>
      <c r="EW108" s="580">
        <f t="shared" si="95"/>
        <v>15846984.048636362</v>
      </c>
      <c r="EX108" s="493">
        <f>+EU$29*EW108+EV108</f>
        <v>2430382.1581840115</v>
      </c>
      <c r="EY108" s="582">
        <f t="shared" si="103"/>
        <v>28947300.680418011</v>
      </c>
      <c r="EZ108" s="579">
        <f>+EY108</f>
        <v>28947300.680418011</v>
      </c>
      <c r="FA108" s="553"/>
      <c r="FD108" s="492"/>
      <c r="FE108" s="476"/>
      <c r="FF108" s="476"/>
      <c r="FG108" s="493"/>
      <c r="FH108" s="492"/>
      <c r="FI108" s="476"/>
      <c r="FJ108" s="476"/>
      <c r="FK108" s="493"/>
      <c r="FL108" s="492"/>
      <c r="FM108" s="476"/>
      <c r="FN108" s="476"/>
      <c r="FO108" s="493"/>
      <c r="FP108" s="492"/>
      <c r="FQ108" s="476"/>
      <c r="FR108" s="476"/>
      <c r="FS108" s="493"/>
      <c r="FT108" s="492"/>
      <c r="FU108" s="476"/>
      <c r="FV108" s="476"/>
      <c r="FW108" s="493"/>
      <c r="FX108" s="492"/>
      <c r="FY108" s="476"/>
      <c r="FZ108" s="476"/>
      <c r="GA108" s="493"/>
      <c r="GB108" s="492"/>
      <c r="GC108" s="476"/>
      <c r="GD108" s="476"/>
      <c r="GE108" s="493"/>
      <c r="GF108" s="492"/>
      <c r="GG108" s="476"/>
      <c r="GH108" s="476"/>
      <c r="GI108" s="493"/>
      <c r="GJ108" s="492"/>
      <c r="GK108" s="476"/>
      <c r="GL108" s="476"/>
      <c r="GM108" s="493"/>
      <c r="GN108" s="492"/>
      <c r="GO108" s="476"/>
      <c r="GP108" s="476"/>
      <c r="GQ108" s="493"/>
      <c r="GR108" s="492"/>
      <c r="GS108" s="476"/>
      <c r="GT108" s="476"/>
      <c r="GU108" s="493"/>
      <c r="GV108" s="492"/>
      <c r="GW108" s="476"/>
      <c r="GX108" s="476"/>
      <c r="GY108" s="493"/>
      <c r="GZ108" s="492"/>
      <c r="HA108" s="476"/>
      <c r="HB108" s="476"/>
      <c r="HC108" s="493"/>
      <c r="HD108" s="576"/>
      <c r="HE108" s="580"/>
      <c r="HF108" s="580"/>
      <c r="HG108" s="918"/>
      <c r="HH108" s="919"/>
      <c r="HI108" s="925"/>
      <c r="HJ108" s="925"/>
      <c r="HK108" s="918"/>
      <c r="HL108" s="919"/>
      <c r="HM108" s="925"/>
      <c r="HN108" s="925"/>
      <c r="HO108" s="918"/>
      <c r="HP108" s="919"/>
      <c r="HQ108" s="925"/>
      <c r="HR108" s="925"/>
      <c r="HS108" s="918"/>
      <c r="HT108" s="919"/>
      <c r="HU108" s="925"/>
      <c r="HV108" s="925"/>
      <c r="HW108" s="918"/>
      <c r="HY108" s="492"/>
      <c r="HZ108" s="476"/>
      <c r="IA108" s="476"/>
      <c r="IB108" s="493"/>
      <c r="IC108" s="492"/>
      <c r="ID108" s="476"/>
      <c r="IE108" s="476"/>
      <c r="IF108" s="493"/>
      <c r="IG108" s="492"/>
      <c r="IH108" s="476"/>
      <c r="II108" s="476"/>
      <c r="IJ108" s="493"/>
    </row>
    <row r="109" spans="1:244">
      <c r="A109" s="554" t="s">
        <v>24</v>
      </c>
      <c r="B109" s="574">
        <v>2041</v>
      </c>
      <c r="C109" s="575">
        <f>+E108</f>
        <v>5238055.8130681738</v>
      </c>
      <c r="D109" s="575">
        <f>+C$31</f>
        <v>445791.98409090913</v>
      </c>
      <c r="E109" s="575">
        <f t="shared" ref="E109:E129" si="150">+C109-D109</f>
        <v>4792263.8289772645</v>
      </c>
      <c r="F109" s="558">
        <f>+C$28*E109+D109</f>
        <v>985157.77858706273</v>
      </c>
      <c r="G109" s="575">
        <f>+I108</f>
        <v>1332168.6197727253</v>
      </c>
      <c r="H109" s="575">
        <f>+G$31</f>
        <v>115840.74954545456</v>
      </c>
      <c r="I109" s="575">
        <f t="shared" ref="I109:I129" si="151">+G109-H109</f>
        <v>1216327.8702272708</v>
      </c>
      <c r="J109" s="558">
        <f>+G$28*I109+H109</f>
        <v>252737.56314032618</v>
      </c>
      <c r="K109" s="576">
        <f>+M108</f>
        <v>3283262.4322159062</v>
      </c>
      <c r="L109" s="575">
        <f>+K$31</f>
        <v>305419.76113636367</v>
      </c>
      <c r="M109" s="575">
        <f t="shared" ref="M109:M130" si="152">+K109-L109</f>
        <v>2977842.6710795425</v>
      </c>
      <c r="N109" s="558">
        <f>+K$28*M109+L109</f>
        <v>640573.77925605047</v>
      </c>
      <c r="O109" s="576">
        <f>+Q108</f>
        <v>1531226.0833333295</v>
      </c>
      <c r="P109" s="575">
        <f>+O$31</f>
        <v>119316.31818181818</v>
      </c>
      <c r="Q109" s="575">
        <f t="shared" si="11"/>
        <v>1411909.7651515114</v>
      </c>
      <c r="R109" s="558">
        <f>+O$28*Q109+P109</f>
        <v>278225.73123062873</v>
      </c>
      <c r="S109" s="492">
        <f>+U108</f>
        <v>651192.04424242105</v>
      </c>
      <c r="T109" s="476">
        <f>+S$31</f>
        <v>58315.705454545445</v>
      </c>
      <c r="U109" s="476">
        <f t="shared" si="12"/>
        <v>592876.3387878756</v>
      </c>
      <c r="V109" s="493">
        <f>+S$28*U109+T109</f>
        <v>125043.5044489798</v>
      </c>
      <c r="W109" s="492">
        <f>+Y108</f>
        <v>8897268.0416666754</v>
      </c>
      <c r="X109" s="476">
        <f>+W$31</f>
        <v>693293.61363636365</v>
      </c>
      <c r="Y109" s="476">
        <f t="shared" si="13"/>
        <v>8203974.4280303121</v>
      </c>
      <c r="Z109" s="493">
        <f>+W$28*Y109+X109</f>
        <v>1616644.9447222068</v>
      </c>
      <c r="AA109" s="492">
        <f>+AC108</f>
        <v>5823263.399621211</v>
      </c>
      <c r="AB109" s="476">
        <f>+AA$31</f>
        <v>450833.29545454547</v>
      </c>
      <c r="AC109" s="476">
        <f t="shared" si="14"/>
        <v>5372430.1041666651</v>
      </c>
      <c r="AD109" s="493">
        <f>+AA$28*AC109+AB109</f>
        <v>1055496.3805683958</v>
      </c>
      <c r="AE109" s="492">
        <f>+AG108</f>
        <v>57473.579545454631</v>
      </c>
      <c r="AF109" s="476">
        <f>+AE$31</f>
        <v>4597.886363636364</v>
      </c>
      <c r="AG109" s="476">
        <f t="shared" si="15"/>
        <v>52875.693181818264</v>
      </c>
      <c r="AH109" s="493">
        <f>+AE$28*AG109+AF109</f>
        <v>10549.007019827925</v>
      </c>
      <c r="AI109" s="492">
        <f>+AK108</f>
        <v>4088406.1401515193</v>
      </c>
      <c r="AJ109" s="476">
        <f>+AI$31</f>
        <v>295547.43181818182</v>
      </c>
      <c r="AK109" s="476">
        <f t="shared" si="19"/>
        <v>3792858.7083333377</v>
      </c>
      <c r="AL109" s="493">
        <f>+AI$28*AK109+AJ109</f>
        <v>722430.90978155064</v>
      </c>
      <c r="AM109" s="492">
        <f>+AO108</f>
        <v>1496703.361704546</v>
      </c>
      <c r="AN109" s="476">
        <f>+AM$31</f>
        <v>110866.91568181818</v>
      </c>
      <c r="AO109" s="476">
        <f t="shared" si="16"/>
        <v>1385836.4460227278</v>
      </c>
      <c r="AP109" s="493">
        <f>+AM$28*AO109+AN109</f>
        <v>266841.79570220626</v>
      </c>
      <c r="AQ109" s="492">
        <f>+AS108</f>
        <v>12442818.262499997</v>
      </c>
      <c r="AR109" s="476">
        <f>+AQ$31</f>
        <v>904932.23727272719</v>
      </c>
      <c r="AS109" s="476">
        <f t="shared" si="17"/>
        <v>11537886.025227271</v>
      </c>
      <c r="AT109" s="493">
        <f>+AQ$28*AS109+AR109</f>
        <v>2203512.8841005289</v>
      </c>
      <c r="AU109" s="575"/>
      <c r="AV109" s="575"/>
      <c r="AW109" s="575"/>
      <c r="AX109" s="558"/>
      <c r="AY109" s="575"/>
      <c r="AZ109" s="575"/>
      <c r="BA109" s="575"/>
      <c r="BB109" s="558"/>
      <c r="BC109" s="575"/>
      <c r="BD109" s="575"/>
      <c r="BE109" s="575"/>
      <c r="BF109" s="558"/>
      <c r="BG109" s="575"/>
      <c r="BH109" s="575"/>
      <c r="BI109" s="575"/>
      <c r="BJ109" s="558"/>
      <c r="BK109" s="575"/>
      <c r="BL109" s="575"/>
      <c r="BM109" s="575"/>
      <c r="BN109" s="558"/>
      <c r="BO109" s="575"/>
      <c r="BP109" s="575"/>
      <c r="BQ109" s="575"/>
      <c r="BR109" s="558"/>
      <c r="BS109" s="492">
        <f>+BU108</f>
        <v>116352.40909090938</v>
      </c>
      <c r="BT109" s="476">
        <f>+BS$31</f>
        <v>8310.886363636364</v>
      </c>
      <c r="BU109" s="476">
        <f t="shared" si="18"/>
        <v>108041.52272727301</v>
      </c>
      <c r="BV109" s="493">
        <f>+BS$28*BU109+BT109</f>
        <v>20470.880851420294</v>
      </c>
      <c r="BW109" s="492">
        <f>+BY108</f>
        <v>8364197.7954545645</v>
      </c>
      <c r="BX109" s="476">
        <f>+BW$31</f>
        <v>576841.22727272729</v>
      </c>
      <c r="BY109" s="476">
        <f t="shared" si="20"/>
        <v>7787356.568181837</v>
      </c>
      <c r="BZ109" s="493">
        <f>+BW$28*BY109+BX109</f>
        <v>1453302.522459521</v>
      </c>
      <c r="CA109" s="492">
        <f>+CC108</f>
        <v>793828.00000000175</v>
      </c>
      <c r="CB109" s="476">
        <f>+CA$31</f>
        <v>54433.919999999998</v>
      </c>
      <c r="CC109" s="476">
        <f t="shared" si="21"/>
        <v>739394.0800000017</v>
      </c>
      <c r="CD109" s="493">
        <f>+CA$28*CC109+CB109</f>
        <v>137652.18377619609</v>
      </c>
      <c r="CE109" s="492">
        <f>+CG108</f>
        <v>67331.664545454754</v>
      </c>
      <c r="CF109" s="476">
        <f>+CE$31</f>
        <v>4725.0290909090909</v>
      </c>
      <c r="CG109" s="476">
        <f t="shared" si="22"/>
        <v>62606.635454545663</v>
      </c>
      <c r="CH109" s="493">
        <f>+CE$28*CG109+CF109</f>
        <v>11771.360194069288</v>
      </c>
      <c r="CI109" s="492">
        <f>+CK108</f>
        <v>187501.36363636327</v>
      </c>
      <c r="CJ109" s="476">
        <f>+CI$31</f>
        <v>12362.727272727272</v>
      </c>
      <c r="CK109" s="476">
        <f t="shared" si="23"/>
        <v>175138.636363636</v>
      </c>
      <c r="CL109" s="493">
        <f>+CI$28*CK109+CJ109</f>
        <v>32074.452903952661</v>
      </c>
      <c r="CM109" s="492">
        <f>+CO108</f>
        <v>9552910.0650568269</v>
      </c>
      <c r="CN109" s="476">
        <f>+CM$31</f>
        <v>483691.64886363636</v>
      </c>
      <c r="CO109" s="476">
        <f t="shared" si="33"/>
        <v>9069218.416193191</v>
      </c>
      <c r="CP109" s="493">
        <f>+CM$28*CO109+CN109</f>
        <v>1504425.558990018</v>
      </c>
      <c r="CQ109" s="492">
        <f>+CS108</f>
        <v>39850285.295284092</v>
      </c>
      <c r="CR109" s="476">
        <f>+CQ$31</f>
        <v>2017735.9643181816</v>
      </c>
      <c r="CS109" s="476">
        <f t="shared" si="38"/>
        <v>37832549.330965914</v>
      </c>
      <c r="CT109" s="493">
        <f>+CQ$28*CS109+CR109</f>
        <v>6275761.7650525682</v>
      </c>
      <c r="CU109" s="492">
        <f>+CW108</f>
        <v>13523907.450000023</v>
      </c>
      <c r="CV109" s="476">
        <f>+CU$31</f>
        <v>676195.37250000006</v>
      </c>
      <c r="CW109" s="476">
        <f t="shared" si="39"/>
        <v>12847712.077500023</v>
      </c>
      <c r="CX109" s="493">
        <f>+CU$28*CW109+CV109</f>
        <v>2122195.9850367066</v>
      </c>
      <c r="CY109" s="492">
        <f>+DA108</f>
        <v>15041.339204545471</v>
      </c>
      <c r="CZ109" s="476">
        <f>+CY$31</f>
        <v>733.72386363636497</v>
      </c>
      <c r="DA109" s="476">
        <f t="shared" si="40"/>
        <v>14307.615340909106</v>
      </c>
      <c r="DB109" s="493">
        <f>+CY$28*DA109+CZ109</f>
        <v>2344.0355224044752</v>
      </c>
      <c r="DC109" s="492">
        <f>+DE108</f>
        <v>901746.12272727466</v>
      </c>
      <c r="DD109" s="476">
        <f>+DC$31</f>
        <v>44530.672727272722</v>
      </c>
      <c r="DE109" s="476">
        <f t="shared" si="41"/>
        <v>857215.45000000193</v>
      </c>
      <c r="DF109" s="493">
        <f>+DC$28*DE109+DD109</f>
        <v>141009.64566025944</v>
      </c>
      <c r="DG109" s="492">
        <f>+DI108</f>
        <v>505109.22352272627</v>
      </c>
      <c r="DH109" s="476">
        <f>+DG$31</f>
        <v>24639.474318181816</v>
      </c>
      <c r="DI109" s="476">
        <f t="shared" si="42"/>
        <v>480469.74920454447</v>
      </c>
      <c r="DJ109" s="493">
        <f>+DG$28*DI109+DH109</f>
        <v>78715.993737686047</v>
      </c>
      <c r="DK109" s="492">
        <f>+DM108</f>
        <v>11084785.978750005</v>
      </c>
      <c r="DL109" s="476">
        <f>+DK$31</f>
        <v>549658.80886363634</v>
      </c>
      <c r="DM109" s="476">
        <f t="shared" si="43"/>
        <v>10535127.169886369</v>
      </c>
      <c r="DN109" s="493">
        <f>+DK$28*DM109+DL109</f>
        <v>1735379.678767507</v>
      </c>
      <c r="DO109" s="492">
        <f>+DQ108</f>
        <v>414712.23178030271</v>
      </c>
      <c r="DP109" s="476">
        <f>+DO$31</f>
        <v>19592.703863636354</v>
      </c>
      <c r="DQ109" s="476">
        <f t="shared" si="148"/>
        <v>395119.52791666635</v>
      </c>
      <c r="DR109" s="493">
        <f>+DO$28*DQ109+DP109</f>
        <v>64063.11820248951</v>
      </c>
      <c r="DS109" s="492">
        <f>+DU108</f>
        <v>178358.68363636319</v>
      </c>
      <c r="DT109" s="476">
        <f>+DS$31</f>
        <v>8295.7527272726966</v>
      </c>
      <c r="DU109" s="476">
        <f t="shared" si="58"/>
        <v>170062.9309090905</v>
      </c>
      <c r="DV109" s="493">
        <f>+DS$28*DU109+DT109</f>
        <v>27436.211416021826</v>
      </c>
      <c r="DW109" s="492">
        <f>+DY108</f>
        <v>25962.472443181767</v>
      </c>
      <c r="DX109" s="476">
        <f>+DW$31</f>
        <v>1221.7634090909089</v>
      </c>
      <c r="DY109" s="476">
        <f t="shared" si="59"/>
        <v>24740.709034090858</v>
      </c>
      <c r="DZ109" s="493">
        <f>+DW$28*DY109+DX109</f>
        <v>4006.3121444676999</v>
      </c>
      <c r="EA109" s="492">
        <f>+EC108</f>
        <v>-156053.27653409197</v>
      </c>
      <c r="EB109" s="476">
        <f>+EA$31</f>
        <v>-7120.3015909091364</v>
      </c>
      <c r="EC109" s="476">
        <f t="shared" si="60"/>
        <v>-148932.97494318284</v>
      </c>
      <c r="ED109" s="493">
        <f>+EA$28*EC109+EB109</f>
        <v>-23882.599165424966</v>
      </c>
      <c r="EE109" s="576">
        <f>+EG108</f>
        <v>4507601.5959091</v>
      </c>
      <c r="EF109" s="580">
        <f>+EE$31</f>
        <v>192495.44181818186</v>
      </c>
      <c r="EG109" s="580">
        <f t="shared" si="69"/>
        <v>4315106.1540909186</v>
      </c>
      <c r="EH109" s="493">
        <f>+EE$28*EG109+EF109</f>
        <v>678157.48844076809</v>
      </c>
      <c r="EI109" s="576">
        <f>+EK108</f>
        <v>183426.13791666651</v>
      </c>
      <c r="EJ109" s="580">
        <f>+EI$31</f>
        <v>7696.2015909090906</v>
      </c>
      <c r="EK109" s="580">
        <f t="shared" si="70"/>
        <v>175729.93632575742</v>
      </c>
      <c r="EL109" s="493">
        <f>+EI$28*EK109+EJ109</f>
        <v>27474.477601086222</v>
      </c>
      <c r="EM109" s="576">
        <f>+EO108</f>
        <v>6270635.0127272699</v>
      </c>
      <c r="EN109" s="580">
        <f>+EM$31</f>
        <v>261276.45886363636</v>
      </c>
      <c r="EO109" s="580">
        <f t="shared" si="71"/>
        <v>6009358.5538636334</v>
      </c>
      <c r="EP109" s="493">
        <f>+EM$28*EO109+EN109</f>
        <v>937625.37588656275</v>
      </c>
      <c r="EQ109" s="576">
        <f>+ES108</f>
        <v>12264210.144772712</v>
      </c>
      <c r="ER109" s="580">
        <f>+EQ$31</f>
        <v>500580.00590909086</v>
      </c>
      <c r="ES109" s="580">
        <f t="shared" si="94"/>
        <v>11763630.138863621</v>
      </c>
      <c r="ET109" s="493">
        <f>+EQ$28*ES109+ER109</f>
        <v>1824567.9878815201</v>
      </c>
      <c r="EU109" s="576">
        <f>+EW108</f>
        <v>15846984.048636362</v>
      </c>
      <c r="EV109" s="580">
        <f>+EU$31</f>
        <v>646815.67545454553</v>
      </c>
      <c r="EW109" s="580">
        <f t="shared" si="95"/>
        <v>15200168.373181816</v>
      </c>
      <c r="EX109" s="493">
        <f>+EU$28*EW109+EV109</f>
        <v>2357583.5262358701</v>
      </c>
      <c r="EY109" s="582">
        <f t="shared" si="103"/>
        <v>27569350.240153436</v>
      </c>
      <c r="EZ109" s="557"/>
      <c r="FA109" s="578">
        <f>+EY109</f>
        <v>27569350.240153436</v>
      </c>
      <c r="FD109" s="492"/>
      <c r="FE109" s="476"/>
      <c r="FF109" s="476"/>
      <c r="FG109" s="493"/>
      <c r="FH109" s="492"/>
      <c r="FI109" s="476"/>
      <c r="FJ109" s="476"/>
      <c r="FK109" s="493"/>
      <c r="FL109" s="492"/>
      <c r="FM109" s="476"/>
      <c r="FN109" s="476"/>
      <c r="FO109" s="493"/>
      <c r="FP109" s="492"/>
      <c r="FQ109" s="476"/>
      <c r="FR109" s="476"/>
      <c r="FS109" s="493"/>
      <c r="FT109" s="492"/>
      <c r="FU109" s="476"/>
      <c r="FV109" s="476"/>
      <c r="FW109" s="493"/>
      <c r="FX109" s="492"/>
      <c r="FY109" s="476"/>
      <c r="FZ109" s="476"/>
      <c r="GA109" s="493"/>
      <c r="GB109" s="492"/>
      <c r="GC109" s="476"/>
      <c r="GD109" s="476"/>
      <c r="GE109" s="493"/>
      <c r="GF109" s="492"/>
      <c r="GG109" s="476"/>
      <c r="GH109" s="476"/>
      <c r="GI109" s="493"/>
      <c r="GJ109" s="492"/>
      <c r="GK109" s="476"/>
      <c r="GL109" s="476"/>
      <c r="GM109" s="493"/>
      <c r="GN109" s="492"/>
      <c r="GO109" s="476"/>
      <c r="GP109" s="476"/>
      <c r="GQ109" s="493"/>
      <c r="GR109" s="492"/>
      <c r="GS109" s="476"/>
      <c r="GT109" s="476"/>
      <c r="GU109" s="493"/>
      <c r="GV109" s="492"/>
      <c r="GW109" s="476"/>
      <c r="GX109" s="476"/>
      <c r="GY109" s="493"/>
      <c r="GZ109" s="492"/>
      <c r="HA109" s="476"/>
      <c r="HB109" s="476"/>
      <c r="HC109" s="493"/>
      <c r="HD109" s="576"/>
      <c r="HE109" s="580"/>
      <c r="HF109" s="580"/>
      <c r="HG109" s="918"/>
      <c r="HH109" s="919"/>
      <c r="HI109" s="925"/>
      <c r="HJ109" s="925"/>
      <c r="HK109" s="918"/>
      <c r="HL109" s="919"/>
      <c r="HM109" s="925"/>
      <c r="HN109" s="925"/>
      <c r="HO109" s="918"/>
      <c r="HP109" s="919"/>
      <c r="HQ109" s="925"/>
      <c r="HR109" s="925"/>
      <c r="HS109" s="918"/>
      <c r="HT109" s="919"/>
      <c r="HU109" s="925"/>
      <c r="HV109" s="925"/>
      <c r="HW109" s="918"/>
      <c r="HY109" s="492"/>
      <c r="HZ109" s="476"/>
      <c r="IA109" s="476"/>
      <c r="IB109" s="493"/>
      <c r="IC109" s="492"/>
      <c r="ID109" s="476"/>
      <c r="IE109" s="476"/>
      <c r="IF109" s="493"/>
      <c r="IG109" s="492"/>
      <c r="IH109" s="476"/>
      <c r="II109" s="476"/>
      <c r="IJ109" s="493"/>
    </row>
    <row r="110" spans="1:244">
      <c r="A110" s="554" t="s">
        <v>23</v>
      </c>
      <c r="B110" s="574">
        <v>2041</v>
      </c>
      <c r="C110" s="575">
        <f>+C109</f>
        <v>5238055.8130681738</v>
      </c>
      <c r="D110" s="575">
        <f>+D109</f>
        <v>445791.98409090913</v>
      </c>
      <c r="E110" s="575">
        <f t="shared" si="150"/>
        <v>4792263.8289772645</v>
      </c>
      <c r="F110" s="558">
        <f>+C$29*E110+D110</f>
        <v>1016395.0279453368</v>
      </c>
      <c r="G110" s="575">
        <f>+G109</f>
        <v>1332168.6197727253</v>
      </c>
      <c r="H110" s="575">
        <f>+H109</f>
        <v>115840.74954545456</v>
      </c>
      <c r="I110" s="575">
        <f t="shared" si="151"/>
        <v>1216327.8702272708</v>
      </c>
      <c r="J110" s="558">
        <f>+G$29*I110+H110</f>
        <v>260665.91148249502</v>
      </c>
      <c r="K110" s="576">
        <f>+K109</f>
        <v>3283262.4322159062</v>
      </c>
      <c r="L110" s="575">
        <f>+L109</f>
        <v>305419.76113636367</v>
      </c>
      <c r="M110" s="575">
        <f t="shared" si="152"/>
        <v>2977842.6710795425</v>
      </c>
      <c r="N110" s="558">
        <f>+K$29*M110+L110</f>
        <v>659984.14925775211</v>
      </c>
      <c r="O110" s="576">
        <f>+O109</f>
        <v>1531226.0833333295</v>
      </c>
      <c r="P110" s="575">
        <f>+P109</f>
        <v>119316.31818181818</v>
      </c>
      <c r="Q110" s="575">
        <f t="shared" si="11"/>
        <v>1411909.7651515114</v>
      </c>
      <c r="R110" s="558">
        <f>+O$29*Q110+P110</f>
        <v>287428.93434702151</v>
      </c>
      <c r="S110" s="492">
        <f>+S109</f>
        <v>651192.04424242105</v>
      </c>
      <c r="T110" s="476">
        <f>+T109</f>
        <v>58315.705454545445</v>
      </c>
      <c r="U110" s="476">
        <f t="shared" si="12"/>
        <v>592876.3387878756</v>
      </c>
      <c r="V110" s="493">
        <f>+S$29*U110+T110</f>
        <v>128908.03000396992</v>
      </c>
      <c r="W110" s="492">
        <f>+W109</f>
        <v>8897268.0416666754</v>
      </c>
      <c r="X110" s="476">
        <f>+X109</f>
        <v>693293.61363636365</v>
      </c>
      <c r="Y110" s="476">
        <f t="shared" si="13"/>
        <v>8203974.4280303121</v>
      </c>
      <c r="Z110" s="493">
        <f>+W$29*Y110+X110</f>
        <v>1670120.6305531301</v>
      </c>
      <c r="AA110" s="492">
        <f>+AA109</f>
        <v>5823263.399621211</v>
      </c>
      <c r="AB110" s="476">
        <f>+AB109</f>
        <v>450833.29545454547</v>
      </c>
      <c r="AC110" s="476">
        <f t="shared" si="14"/>
        <v>5372430.1041666651</v>
      </c>
      <c r="AD110" s="493">
        <f>+AA$29*AC110+AB110</f>
        <v>1090515.3079089567</v>
      </c>
      <c r="AE110" s="492">
        <f>+AE109</f>
        <v>57473.579545454631</v>
      </c>
      <c r="AF110" s="476">
        <f>+AF109</f>
        <v>4597.886363636364</v>
      </c>
      <c r="AG110" s="476">
        <f t="shared" si="15"/>
        <v>52875.693181818264</v>
      </c>
      <c r="AH110" s="493">
        <f>+AE$29*AG110+AF110</f>
        <v>10893.664841654179</v>
      </c>
      <c r="AI110" s="492">
        <f>+AI109</f>
        <v>4088406.1401515193</v>
      </c>
      <c r="AJ110" s="476">
        <f>+AJ109</f>
        <v>295547.43181818182</v>
      </c>
      <c r="AK110" s="476">
        <f t="shared" si="19"/>
        <v>3792858.7083333377</v>
      </c>
      <c r="AL110" s="493">
        <f>+AI$29*AK110+AJ110</f>
        <v>747153.77093466767</v>
      </c>
      <c r="AM110" s="492">
        <f>+AM109</f>
        <v>1496703.361704546</v>
      </c>
      <c r="AN110" s="476">
        <f>+AN109</f>
        <v>110866.91568181818</v>
      </c>
      <c r="AO110" s="476">
        <f t="shared" si="16"/>
        <v>1385836.4460227278</v>
      </c>
      <c r="AP110" s="493">
        <f>+AM$29*AO110+AN110</f>
        <v>275875.04599457065</v>
      </c>
      <c r="AQ110" s="492">
        <f>+AQ109</f>
        <v>12442818.262499997</v>
      </c>
      <c r="AR110" s="476">
        <f>+AR109</f>
        <v>904932.23727272719</v>
      </c>
      <c r="AS110" s="476">
        <f t="shared" si="17"/>
        <v>11537886.025227271</v>
      </c>
      <c r="AT110" s="493">
        <f>+AQ$29*AS110+AR110</f>
        <v>2278719.8918320476</v>
      </c>
      <c r="AU110" s="575"/>
      <c r="AV110" s="575"/>
      <c r="AW110" s="575"/>
      <c r="AX110" s="558"/>
      <c r="AY110" s="575"/>
      <c r="AZ110" s="575"/>
      <c r="BA110" s="575"/>
      <c r="BB110" s="558"/>
      <c r="BC110" s="575"/>
      <c r="BD110" s="575"/>
      <c r="BE110" s="575"/>
      <c r="BF110" s="558"/>
      <c r="BG110" s="575"/>
      <c r="BH110" s="575"/>
      <c r="BI110" s="575"/>
      <c r="BJ110" s="558"/>
      <c r="BK110" s="575"/>
      <c r="BL110" s="575"/>
      <c r="BM110" s="575"/>
      <c r="BN110" s="558"/>
      <c r="BO110" s="575"/>
      <c r="BP110" s="575"/>
      <c r="BQ110" s="575"/>
      <c r="BR110" s="558"/>
      <c r="BS110" s="492">
        <f>+BS109</f>
        <v>116352.40909090938</v>
      </c>
      <c r="BT110" s="476">
        <f>+BT109</f>
        <v>8310.886363636364</v>
      </c>
      <c r="BU110" s="476">
        <f t="shared" si="18"/>
        <v>108041.52272727301</v>
      </c>
      <c r="BV110" s="493">
        <f>+BS$29*BU110+BT110</f>
        <v>21175.124212579252</v>
      </c>
      <c r="BW110" s="492">
        <f>+BW109</f>
        <v>8364197.7954545645</v>
      </c>
      <c r="BX110" s="476">
        <f>+BX109</f>
        <v>576841.22727272729</v>
      </c>
      <c r="BY110" s="476">
        <f t="shared" si="20"/>
        <v>7787356.568181837</v>
      </c>
      <c r="BZ110" s="493">
        <f>+BW$29*BY110+BX110</f>
        <v>1453302.522459521</v>
      </c>
      <c r="CA110" s="492">
        <f>+CA109</f>
        <v>793828.00000000175</v>
      </c>
      <c r="CB110" s="476">
        <f>+CB109</f>
        <v>54433.919999999998</v>
      </c>
      <c r="CC110" s="476">
        <f t="shared" si="21"/>
        <v>739394.0800000017</v>
      </c>
      <c r="CD110" s="493">
        <f>+CA$29*CC110+CB110</f>
        <v>142471.7509109047</v>
      </c>
      <c r="CE110" s="492">
        <f>+CE109</f>
        <v>67331.664545454754</v>
      </c>
      <c r="CF110" s="476">
        <f>+CF109</f>
        <v>4725.0290909090909</v>
      </c>
      <c r="CG110" s="476">
        <f t="shared" si="22"/>
        <v>62606.635454545663</v>
      </c>
      <c r="CH110" s="493">
        <f>+CE$29*CG110+CF110</f>
        <v>12179.446883986267</v>
      </c>
      <c r="CI110" s="492">
        <f>+CI109</f>
        <v>187501.36363636327</v>
      </c>
      <c r="CJ110" s="476">
        <f>+CJ109</f>
        <v>12362.727272727272</v>
      </c>
      <c r="CK110" s="476">
        <f t="shared" si="23"/>
        <v>175138.636363636</v>
      </c>
      <c r="CL110" s="493">
        <f>+CI$29*CK110+CJ110</f>
        <v>32074.452903952661</v>
      </c>
      <c r="CM110" s="492">
        <f>+CM109</f>
        <v>9552910.0650568269</v>
      </c>
      <c r="CN110" s="476">
        <f>+CN109</f>
        <v>483691.64886363636</v>
      </c>
      <c r="CO110" s="476">
        <f t="shared" si="33"/>
        <v>9069218.416193191</v>
      </c>
      <c r="CP110" s="493">
        <f>+CM$29*CO110+CN110</f>
        <v>1504425.558990018</v>
      </c>
      <c r="CQ110" s="492">
        <f>+CQ109</f>
        <v>39850285.295284092</v>
      </c>
      <c r="CR110" s="476">
        <f>+CR109</f>
        <v>2017735.9643181816</v>
      </c>
      <c r="CS110" s="476">
        <f t="shared" si="38"/>
        <v>37832549.330965914</v>
      </c>
      <c r="CT110" s="493">
        <f>+CQ$29*CS110+CR110</f>
        <v>6275761.7650525682</v>
      </c>
      <c r="CU110" s="492">
        <f>+CU109</f>
        <v>13523907.450000023</v>
      </c>
      <c r="CV110" s="476">
        <f>+CV109</f>
        <v>676195.37250000006</v>
      </c>
      <c r="CW110" s="476">
        <f t="shared" si="39"/>
        <v>12847712.077500023</v>
      </c>
      <c r="CX110" s="493">
        <f>+CU$29*CW110+CV110</f>
        <v>2122195.9850367066</v>
      </c>
      <c r="CY110" s="492">
        <f>+CY109</f>
        <v>15041.339204545471</v>
      </c>
      <c r="CZ110" s="476">
        <f>+CZ109</f>
        <v>733.72386363636497</v>
      </c>
      <c r="DA110" s="476">
        <f t="shared" si="40"/>
        <v>14307.615340909106</v>
      </c>
      <c r="DB110" s="493">
        <f>+CY$29*DA110+CZ110</f>
        <v>2344.0355224044752</v>
      </c>
      <c r="DC110" s="492">
        <f>+DC109</f>
        <v>901746.12272727466</v>
      </c>
      <c r="DD110" s="476">
        <f>+DD109</f>
        <v>44530.672727272722</v>
      </c>
      <c r="DE110" s="476">
        <f t="shared" si="41"/>
        <v>857215.45000000193</v>
      </c>
      <c r="DF110" s="493">
        <f>+DC$29*DE110+DD110</f>
        <v>141009.64566025944</v>
      </c>
      <c r="DG110" s="492">
        <f>+DG109</f>
        <v>505109.22352272627</v>
      </c>
      <c r="DH110" s="476">
        <f>+DH109</f>
        <v>24639.474318181816</v>
      </c>
      <c r="DI110" s="476">
        <f t="shared" si="42"/>
        <v>480469.74920454447</v>
      </c>
      <c r="DJ110" s="493">
        <f>+DG$29*DI110+DH110</f>
        <v>78715.993737686047</v>
      </c>
      <c r="DK110" s="492">
        <f>+DK109</f>
        <v>11084785.978750005</v>
      </c>
      <c r="DL110" s="476">
        <f>+DL109</f>
        <v>549658.80886363634</v>
      </c>
      <c r="DM110" s="476">
        <f t="shared" si="43"/>
        <v>10535127.169886369</v>
      </c>
      <c r="DN110" s="493">
        <f>+DK$29*DM110+DL110</f>
        <v>1735379.678767507</v>
      </c>
      <c r="DO110" s="492">
        <f>+DO109</f>
        <v>414712.23178030271</v>
      </c>
      <c r="DP110" s="476">
        <f>+DP109</f>
        <v>19592.703863636354</v>
      </c>
      <c r="DQ110" s="476">
        <f t="shared" si="148"/>
        <v>395119.52791666635</v>
      </c>
      <c r="DR110" s="493">
        <f>+DO$29*DQ110+DP110</f>
        <v>64063.11820248951</v>
      </c>
      <c r="DS110" s="492">
        <f>+DS109</f>
        <v>178358.68363636319</v>
      </c>
      <c r="DT110" s="476">
        <f>+DT109</f>
        <v>8295.7527272726966</v>
      </c>
      <c r="DU110" s="476">
        <f t="shared" si="58"/>
        <v>170062.9309090905</v>
      </c>
      <c r="DV110" s="493">
        <f>+DS$29*DU110+DT110</f>
        <v>27436.211416021826</v>
      </c>
      <c r="DW110" s="492">
        <f>+DW109</f>
        <v>25962.472443181767</v>
      </c>
      <c r="DX110" s="476">
        <f>+DX109</f>
        <v>1221.7634090909089</v>
      </c>
      <c r="DY110" s="476">
        <f t="shared" si="59"/>
        <v>24740.709034090858</v>
      </c>
      <c r="DZ110" s="493">
        <f>+DW$29*DY110+DX110</f>
        <v>4006.3121444676999</v>
      </c>
      <c r="EA110" s="492">
        <f>+EA109</f>
        <v>-156053.27653409197</v>
      </c>
      <c r="EB110" s="476">
        <f>+EB109</f>
        <v>-7120.3015909091364</v>
      </c>
      <c r="EC110" s="476">
        <f t="shared" si="60"/>
        <v>-148932.97494318284</v>
      </c>
      <c r="ED110" s="493">
        <f>+EA$29*EC110+EB110</f>
        <v>-23882.599165424966</v>
      </c>
      <c r="EE110" s="576">
        <f>+EE109</f>
        <v>4507601.5959091</v>
      </c>
      <c r="EF110" s="580">
        <f>+EF109</f>
        <v>192495.44181818186</v>
      </c>
      <c r="EG110" s="580">
        <f t="shared" si="69"/>
        <v>4315106.1540909186</v>
      </c>
      <c r="EH110" s="493">
        <f>+EE$29*EG110+EF110</f>
        <v>678157.48844076809</v>
      </c>
      <c r="EI110" s="576">
        <f>+EI109</f>
        <v>183426.13791666651</v>
      </c>
      <c r="EJ110" s="580">
        <f>+EJ109</f>
        <v>7696.2015909090906</v>
      </c>
      <c r="EK110" s="580">
        <f t="shared" si="70"/>
        <v>175729.93632575742</v>
      </c>
      <c r="EL110" s="493">
        <f>+EI$29*EK110+EJ110</f>
        <v>27474.477601086222</v>
      </c>
      <c r="EM110" s="576">
        <f>+EM109</f>
        <v>6270635.0127272699</v>
      </c>
      <c r="EN110" s="580">
        <f>+EN109</f>
        <v>261276.45886363636</v>
      </c>
      <c r="EO110" s="580">
        <f t="shared" si="71"/>
        <v>6009358.5538636334</v>
      </c>
      <c r="EP110" s="493">
        <f>+EM$29*EO110+EN110</f>
        <v>937625.37588656275</v>
      </c>
      <c r="EQ110" s="576">
        <f>+EQ109</f>
        <v>12264210.144772712</v>
      </c>
      <c r="ER110" s="580">
        <f>+ER109</f>
        <v>500580.00590909086</v>
      </c>
      <c r="ES110" s="580">
        <f t="shared" si="94"/>
        <v>11763630.138863621</v>
      </c>
      <c r="ET110" s="493">
        <f>+EQ$29*ES110+ER110</f>
        <v>1824567.9878815201</v>
      </c>
      <c r="EU110" s="576">
        <f>+EU109</f>
        <v>15846984.048636362</v>
      </c>
      <c r="EV110" s="580">
        <f>+EV109</f>
        <v>646815.67545454553</v>
      </c>
      <c r="EW110" s="580">
        <f t="shared" si="95"/>
        <v>15200168.373181816</v>
      </c>
      <c r="EX110" s="493">
        <f>+EU$29*EW110+EV110</f>
        <v>2357583.5262358701</v>
      </c>
      <c r="EY110" s="582">
        <f t="shared" si="103"/>
        <v>27844728.223883051</v>
      </c>
      <c r="EZ110" s="579">
        <f>+EY110</f>
        <v>27844728.223883051</v>
      </c>
      <c r="FA110" s="553"/>
      <c r="FD110" s="492"/>
      <c r="FE110" s="476"/>
      <c r="FF110" s="476"/>
      <c r="FG110" s="493"/>
      <c r="FH110" s="492"/>
      <c r="FI110" s="476"/>
      <c r="FJ110" s="476"/>
      <c r="FK110" s="493"/>
      <c r="FL110" s="492"/>
      <c r="FM110" s="476"/>
      <c r="FN110" s="476"/>
      <c r="FO110" s="493"/>
      <c r="FP110" s="492"/>
      <c r="FQ110" s="476"/>
      <c r="FR110" s="476"/>
      <c r="FS110" s="493"/>
      <c r="FT110" s="492"/>
      <c r="FU110" s="476"/>
      <c r="FV110" s="476"/>
      <c r="FW110" s="493"/>
      <c r="FX110" s="492"/>
      <c r="FY110" s="476"/>
      <c r="FZ110" s="476"/>
      <c r="GA110" s="493"/>
      <c r="GB110" s="492"/>
      <c r="GC110" s="476"/>
      <c r="GD110" s="476"/>
      <c r="GE110" s="493"/>
      <c r="GF110" s="492"/>
      <c r="GG110" s="476"/>
      <c r="GH110" s="476"/>
      <c r="GI110" s="493"/>
      <c r="GJ110" s="492"/>
      <c r="GK110" s="476"/>
      <c r="GL110" s="476"/>
      <c r="GM110" s="493"/>
      <c r="GN110" s="492"/>
      <c r="GO110" s="476"/>
      <c r="GP110" s="476"/>
      <c r="GQ110" s="493"/>
      <c r="GR110" s="492"/>
      <c r="GS110" s="476"/>
      <c r="GT110" s="476"/>
      <c r="GU110" s="493"/>
      <c r="GV110" s="492"/>
      <c r="GW110" s="476"/>
      <c r="GX110" s="476"/>
      <c r="GY110" s="493"/>
      <c r="GZ110" s="492"/>
      <c r="HA110" s="476"/>
      <c r="HB110" s="476"/>
      <c r="HC110" s="493"/>
      <c r="HD110" s="576"/>
      <c r="HE110" s="580"/>
      <c r="HF110" s="580"/>
      <c r="HG110" s="918"/>
      <c r="HH110" s="919"/>
      <c r="HI110" s="925"/>
      <c r="HJ110" s="925"/>
      <c r="HK110" s="918"/>
      <c r="HL110" s="919"/>
      <c r="HM110" s="925"/>
      <c r="HN110" s="925"/>
      <c r="HO110" s="918"/>
      <c r="HP110" s="919"/>
      <c r="HQ110" s="925"/>
      <c r="HR110" s="925"/>
      <c r="HS110" s="918"/>
      <c r="HT110" s="919"/>
      <c r="HU110" s="925"/>
      <c r="HV110" s="925"/>
      <c r="HW110" s="918"/>
      <c r="HY110" s="492"/>
      <c r="HZ110" s="476"/>
      <c r="IA110" s="476"/>
      <c r="IB110" s="493"/>
      <c r="IC110" s="492"/>
      <c r="ID110" s="476"/>
      <c r="IE110" s="476"/>
      <c r="IF110" s="493"/>
      <c r="IG110" s="492"/>
      <c r="IH110" s="476"/>
      <c r="II110" s="476"/>
      <c r="IJ110" s="493"/>
    </row>
    <row r="111" spans="1:244">
      <c r="A111" s="554" t="s">
        <v>24</v>
      </c>
      <c r="B111" s="574">
        <v>2042</v>
      </c>
      <c r="C111" s="575">
        <f>+E110</f>
        <v>4792263.8289772645</v>
      </c>
      <c r="D111" s="575">
        <f>+C$31</f>
        <v>445791.98409090913</v>
      </c>
      <c r="E111" s="575">
        <f t="shared" si="150"/>
        <v>4346471.8448863551</v>
      </c>
      <c r="F111" s="558">
        <f>+C$28*E111+D111</f>
        <v>934984.21630835067</v>
      </c>
      <c r="G111" s="575">
        <f>+I110</f>
        <v>1216327.8702272708</v>
      </c>
      <c r="H111" s="575">
        <f>+G$31</f>
        <v>115840.74954545456</v>
      </c>
      <c r="I111" s="575">
        <f t="shared" si="151"/>
        <v>1100487.1206818162</v>
      </c>
      <c r="J111" s="558">
        <f>+G$28*I111+H111</f>
        <v>239699.771369386</v>
      </c>
      <c r="K111" s="576">
        <f>+M110</f>
        <v>2977842.6710795425</v>
      </c>
      <c r="L111" s="575">
        <f>+K$31</f>
        <v>305419.76113636367</v>
      </c>
      <c r="M111" s="575">
        <f t="shared" si="152"/>
        <v>2672422.9099431788</v>
      </c>
      <c r="N111" s="558">
        <f>+K$28*M111+L111</f>
        <v>606199.00816685171</v>
      </c>
      <c r="O111" s="576">
        <f>+Q110</f>
        <v>1411909.7651515114</v>
      </c>
      <c r="P111" s="575">
        <f>+O$31</f>
        <v>119316.31818181818</v>
      </c>
      <c r="Q111" s="575">
        <f t="shared" ref="Q111:Q132" si="153">+O111-P111</f>
        <v>1292593.4469696933</v>
      </c>
      <c r="R111" s="558">
        <f>+O$28*Q111+P111</f>
        <v>264796.76674763067</v>
      </c>
      <c r="S111" s="492">
        <f>+U110</f>
        <v>592876.3387878756</v>
      </c>
      <c r="T111" s="476">
        <f>+S$31</f>
        <v>58315.705454545445</v>
      </c>
      <c r="U111" s="476">
        <f t="shared" ref="U111:U132" si="154">+S111-T111</f>
        <v>534560.63333333016</v>
      </c>
      <c r="V111" s="493">
        <f>+S$28*U111+T111</f>
        <v>118480.11438395343</v>
      </c>
      <c r="W111" s="492">
        <f>+Y110</f>
        <v>8203974.4280303121</v>
      </c>
      <c r="X111" s="476">
        <f>+W$31</f>
        <v>693293.61363636365</v>
      </c>
      <c r="Y111" s="476">
        <f t="shared" ref="Y111:Y132" si="155">+W111-X111</f>
        <v>7510680.8143939488</v>
      </c>
      <c r="Z111" s="493">
        <f>+W$28*Y111+X111</f>
        <v>1538615.2547712906</v>
      </c>
      <c r="AA111" s="492">
        <f>+AC110</f>
        <v>5372430.1041666651</v>
      </c>
      <c r="AB111" s="476">
        <f>+AA$31</f>
        <v>450833.29545454547</v>
      </c>
      <c r="AC111" s="476">
        <f t="shared" ref="AC111:AC132" si="156">+AA111-AB111</f>
        <v>4921596.8087121192</v>
      </c>
      <c r="AD111" s="493">
        <f>+AA$28*AC111+AB111</f>
        <v>1004755.4223770238</v>
      </c>
      <c r="AE111" s="492">
        <f>+AG110</f>
        <v>52875.693181818264</v>
      </c>
      <c r="AF111" s="476">
        <f>+AE$31</f>
        <v>4597.886363636364</v>
      </c>
      <c r="AG111" s="476">
        <f t="shared" ref="AG111:AG132" si="157">+AE111-AF111</f>
        <v>48277.806818181896</v>
      </c>
      <c r="AH111" s="493">
        <f>+AE$28*AG111+AF111</f>
        <v>10031.518267115614</v>
      </c>
      <c r="AI111" s="492">
        <f>+AK110</f>
        <v>3792858.7083333377</v>
      </c>
      <c r="AJ111" s="476">
        <f>+AI$31</f>
        <v>295547.43181818182</v>
      </c>
      <c r="AK111" s="476">
        <f t="shared" si="19"/>
        <v>3497311.276515156</v>
      </c>
      <c r="AL111" s="493">
        <f>+AI$28*AK111+AJ111</f>
        <v>689167.26214804151</v>
      </c>
      <c r="AM111" s="492">
        <f>+AO110</f>
        <v>1385836.4460227278</v>
      </c>
      <c r="AN111" s="476">
        <f>+AM$31</f>
        <v>110866.91568181818</v>
      </c>
      <c r="AO111" s="476">
        <f t="shared" ref="AO111:AO132" si="158">+AM111-AN111</f>
        <v>1274969.5303409095</v>
      </c>
      <c r="AP111" s="493">
        <f>+AM$28*AO111+AN111</f>
        <v>254363.80530057522</v>
      </c>
      <c r="AQ111" s="492">
        <f>+AS110</f>
        <v>11537886.025227271</v>
      </c>
      <c r="AR111" s="476">
        <f>+AQ$31</f>
        <v>904932.23727272719</v>
      </c>
      <c r="AS111" s="476">
        <f t="shared" ref="AS111:AS132" si="159">+AQ111-AR111</f>
        <v>10632953.787954545</v>
      </c>
      <c r="AT111" s="493">
        <f>+AQ$28*AS111+AR111</f>
        <v>2101663.421604231</v>
      </c>
      <c r="AU111" s="575"/>
      <c r="AV111" s="575"/>
      <c r="AW111" s="575"/>
      <c r="AX111" s="558"/>
      <c r="AY111" s="575"/>
      <c r="AZ111" s="575"/>
      <c r="BA111" s="575"/>
      <c r="BB111" s="558"/>
      <c r="BC111" s="575"/>
      <c r="BD111" s="575"/>
      <c r="BE111" s="575"/>
      <c r="BF111" s="558"/>
      <c r="BG111" s="575"/>
      <c r="BH111" s="575"/>
      <c r="BI111" s="575"/>
      <c r="BJ111" s="558"/>
      <c r="BK111" s="575"/>
      <c r="BL111" s="575"/>
      <c r="BM111" s="575"/>
      <c r="BN111" s="558"/>
      <c r="BO111" s="575"/>
      <c r="BP111" s="575"/>
      <c r="BQ111" s="575"/>
      <c r="BR111" s="558"/>
      <c r="BS111" s="492">
        <f>+BU110</f>
        <v>108041.52272727301</v>
      </c>
      <c r="BT111" s="476">
        <f>+BS$31</f>
        <v>8310.886363636364</v>
      </c>
      <c r="BU111" s="476">
        <f t="shared" ref="BU111:BU132" si="160">+BS111-BT111</f>
        <v>99730.636363636644</v>
      </c>
      <c r="BV111" s="493">
        <f>+BS$28*BU111+BT111</f>
        <v>19535.4966600523</v>
      </c>
      <c r="BW111" s="492">
        <f>+BY110</f>
        <v>7787356.568181837</v>
      </c>
      <c r="BX111" s="476">
        <f>+BW$31</f>
        <v>576841.22727272729</v>
      </c>
      <c r="BY111" s="476">
        <f t="shared" si="20"/>
        <v>7210515.3409091095</v>
      </c>
      <c r="BZ111" s="493">
        <f>+BW$28*BY111+BX111</f>
        <v>1388379.4635567956</v>
      </c>
      <c r="CA111" s="492">
        <f>+CC110</f>
        <v>739394.0800000017</v>
      </c>
      <c r="CB111" s="476">
        <f>+CA$31</f>
        <v>54433.919999999998</v>
      </c>
      <c r="CC111" s="476">
        <f t="shared" si="21"/>
        <v>684960.16000000166</v>
      </c>
      <c r="CD111" s="493">
        <f>+CA$28*CC111+CB111</f>
        <v>131525.68582948227</v>
      </c>
      <c r="CE111" s="492">
        <f>+CG110</f>
        <v>62606.635454545663</v>
      </c>
      <c r="CF111" s="476">
        <f>+CE$31</f>
        <v>4725.0290909090909</v>
      </c>
      <c r="CG111" s="476">
        <f t="shared" si="22"/>
        <v>57881.606363636572</v>
      </c>
      <c r="CH111" s="493">
        <f>+CE$28*CG111+CF111</f>
        <v>11239.561620245879</v>
      </c>
      <c r="CI111" s="492">
        <f>+CK110</f>
        <v>175138.636363636</v>
      </c>
      <c r="CJ111" s="476">
        <f>+CI$31</f>
        <v>12362.727272727272</v>
      </c>
      <c r="CK111" s="476">
        <f t="shared" si="23"/>
        <v>162775.90909090874</v>
      </c>
      <c r="CL111" s="493">
        <f>+CI$28*CK111+CJ111</f>
        <v>30683.03697704263</v>
      </c>
      <c r="CM111" s="492">
        <f>+CO110</f>
        <v>9069218.416193191</v>
      </c>
      <c r="CN111" s="476">
        <f>+CM$31</f>
        <v>483691.64886363636</v>
      </c>
      <c r="CO111" s="476">
        <f t="shared" si="33"/>
        <v>8585526.767329555</v>
      </c>
      <c r="CP111" s="493">
        <f>+CM$28*CO111+CN111</f>
        <v>1449986.417116611</v>
      </c>
      <c r="CQ111" s="492">
        <f>+CS110</f>
        <v>37832549.330965914</v>
      </c>
      <c r="CR111" s="476">
        <f>+CQ$31</f>
        <v>2017735.9643181816</v>
      </c>
      <c r="CS111" s="476">
        <f t="shared" si="38"/>
        <v>35814813.366647735</v>
      </c>
      <c r="CT111" s="493">
        <f>+CQ$28*CS111+CR111</f>
        <v>6048667.0556800682</v>
      </c>
      <c r="CU111" s="492">
        <f>+CW110</f>
        <v>12847712.077500023</v>
      </c>
      <c r="CV111" s="476">
        <f>+CU$31</f>
        <v>676195.37250000006</v>
      </c>
      <c r="CW111" s="476">
        <f t="shared" si="39"/>
        <v>12171516.705000022</v>
      </c>
      <c r="CX111" s="493">
        <f>+CU$28*CW111+CV111</f>
        <v>2046090.6896400379</v>
      </c>
      <c r="CY111" s="492">
        <f>+DA110</f>
        <v>14307.615340909106</v>
      </c>
      <c r="CZ111" s="476">
        <f>+CY$31</f>
        <v>733.72386363636497</v>
      </c>
      <c r="DA111" s="476">
        <f t="shared" si="40"/>
        <v>13573.89147727274</v>
      </c>
      <c r="DB111" s="493">
        <f>+CY$28*DA111+CZ111</f>
        <v>2261.455437339444</v>
      </c>
      <c r="DC111" s="492">
        <f>+DE110</f>
        <v>857215.45000000193</v>
      </c>
      <c r="DD111" s="476">
        <f>+DC$31</f>
        <v>44530.672727272722</v>
      </c>
      <c r="DE111" s="476">
        <f t="shared" si="41"/>
        <v>812684.7772727292</v>
      </c>
      <c r="DF111" s="493">
        <f>+DC$28*DE111+DD111</f>
        <v>135997.75096244196</v>
      </c>
      <c r="DG111" s="492">
        <f>+DI110</f>
        <v>480469.74920454447</v>
      </c>
      <c r="DH111" s="476">
        <f>+DG$31</f>
        <v>24639.474318181816</v>
      </c>
      <c r="DI111" s="476">
        <f t="shared" si="42"/>
        <v>455830.27488636266</v>
      </c>
      <c r="DJ111" s="493">
        <f>+DG$28*DI111+DH111</f>
        <v>75942.838895660185</v>
      </c>
      <c r="DK111" s="492">
        <f>+DM110</f>
        <v>10535127.169886369</v>
      </c>
      <c r="DL111" s="476">
        <f>+DK$31</f>
        <v>549658.80886363634</v>
      </c>
      <c r="DM111" s="476">
        <f t="shared" si="43"/>
        <v>9985468.3610227332</v>
      </c>
      <c r="DN111" s="493">
        <f>+DK$28*DM111+DL111</f>
        <v>1673515.9812073051</v>
      </c>
      <c r="DO111" s="492">
        <f>+DQ110</f>
        <v>395119.52791666635</v>
      </c>
      <c r="DP111" s="476">
        <f>+DO$31</f>
        <v>19592.703863636354</v>
      </c>
      <c r="DQ111" s="476">
        <f t="shared" si="148"/>
        <v>375526.82405303</v>
      </c>
      <c r="DR111" s="493">
        <f>+DO$28*DQ111+DP111</f>
        <v>61857.973689819104</v>
      </c>
      <c r="DS111" s="492">
        <f>+DU110</f>
        <v>170062.9309090905</v>
      </c>
      <c r="DT111" s="476">
        <f>+DS$31</f>
        <v>8295.7527272726966</v>
      </c>
      <c r="DU111" s="476">
        <f t="shared" si="58"/>
        <v>161767.17818181781</v>
      </c>
      <c r="DV111" s="493">
        <f>+DS$28*DU111+DT111</f>
        <v>26502.530504375536</v>
      </c>
      <c r="DW111" s="492">
        <f>+DY110</f>
        <v>24740.709034090858</v>
      </c>
      <c r="DX111" s="476">
        <f>+DW$31</f>
        <v>1221.7634090909089</v>
      </c>
      <c r="DY111" s="476">
        <f t="shared" si="59"/>
        <v>23518.945624999949</v>
      </c>
      <c r="DZ111" s="493">
        <f>+DW$28*DY111+DX111</f>
        <v>3868.8035649429203</v>
      </c>
      <c r="EA111" s="492">
        <f>+EC110</f>
        <v>-148932.97494318284</v>
      </c>
      <c r="EB111" s="476">
        <f>+EA$31</f>
        <v>-7120.3015909091364</v>
      </c>
      <c r="EC111" s="476">
        <f t="shared" si="60"/>
        <v>-141812.6733522737</v>
      </c>
      <c r="ED111" s="493">
        <f>+EA$28*EC111+EB111</f>
        <v>-23081.2144208266</v>
      </c>
      <c r="EE111" s="576">
        <f>+EG110</f>
        <v>4315106.1540909186</v>
      </c>
      <c r="EF111" s="580">
        <f>+EE$31</f>
        <v>192495.44181818186</v>
      </c>
      <c r="EG111" s="580">
        <f t="shared" si="69"/>
        <v>4122610.7122727367</v>
      </c>
      <c r="EH111" s="493">
        <f>+EE$28*EG111+EF111</f>
        <v>656492.26703009522</v>
      </c>
      <c r="EI111" s="576">
        <f>+EK110</f>
        <v>175729.93632575742</v>
      </c>
      <c r="EJ111" s="580">
        <f>+EI$31</f>
        <v>7696.2015909090906</v>
      </c>
      <c r="EK111" s="580">
        <f t="shared" si="70"/>
        <v>168033.73473484832</v>
      </c>
      <c r="EL111" s="493">
        <f>+EI$28*EK111+EJ111</f>
        <v>26608.275732027367</v>
      </c>
      <c r="EM111" s="576">
        <f>+EO110</f>
        <v>6009358.5538636334</v>
      </c>
      <c r="EN111" s="580">
        <f>+EM$31</f>
        <v>261276.45886363636</v>
      </c>
      <c r="EO111" s="580">
        <f t="shared" si="71"/>
        <v>5748082.0949999969</v>
      </c>
      <c r="EP111" s="493">
        <f>+EM$28*EO111+EN111</f>
        <v>908218.90123339195</v>
      </c>
      <c r="EQ111" s="576">
        <f>+ES110</f>
        <v>11763630.138863621</v>
      </c>
      <c r="ER111" s="580">
        <f>+EQ$31</f>
        <v>500580.00590909086</v>
      </c>
      <c r="ES111" s="580">
        <f t="shared" si="94"/>
        <v>11263050.13295453</v>
      </c>
      <c r="ET111" s="493">
        <f>+EQ$28*ES111+ER111</f>
        <v>1768228.0737550335</v>
      </c>
      <c r="EU111" s="576">
        <f>+EW110</f>
        <v>15200168.373181816</v>
      </c>
      <c r="EV111" s="580">
        <f>+EU$31</f>
        <v>646815.67545454553</v>
      </c>
      <c r="EW111" s="580">
        <f t="shared" si="95"/>
        <v>14553352.69772727</v>
      </c>
      <c r="EX111" s="493">
        <f>+EU$28*EW111+EV111</f>
        <v>2284784.8942877287</v>
      </c>
      <c r="EY111" s="582">
        <f t="shared" si="103"/>
        <v>26490062.500404123</v>
      </c>
      <c r="EZ111" s="557"/>
      <c r="FA111" s="578">
        <f>+EY111</f>
        <v>26490062.500404123</v>
      </c>
      <c r="FD111" s="492"/>
      <c r="FE111" s="476"/>
      <c r="FF111" s="476"/>
      <c r="FG111" s="493"/>
      <c r="FH111" s="492"/>
      <c r="FI111" s="476"/>
      <c r="FJ111" s="476"/>
      <c r="FK111" s="493"/>
      <c r="FL111" s="492"/>
      <c r="FM111" s="476"/>
      <c r="FN111" s="476"/>
      <c r="FO111" s="493"/>
      <c r="FP111" s="492"/>
      <c r="FQ111" s="476"/>
      <c r="FR111" s="476"/>
      <c r="FS111" s="493"/>
      <c r="FT111" s="492"/>
      <c r="FU111" s="476"/>
      <c r="FV111" s="476"/>
      <c r="FW111" s="493"/>
      <c r="FX111" s="492"/>
      <c r="FY111" s="476"/>
      <c r="FZ111" s="476"/>
      <c r="GA111" s="493"/>
      <c r="GB111" s="492"/>
      <c r="GC111" s="476"/>
      <c r="GD111" s="476"/>
      <c r="GE111" s="493"/>
      <c r="GF111" s="492"/>
      <c r="GG111" s="476"/>
      <c r="GH111" s="476"/>
      <c r="GI111" s="493"/>
      <c r="GJ111" s="492"/>
      <c r="GK111" s="476"/>
      <c r="GL111" s="476"/>
      <c r="GM111" s="493"/>
      <c r="GN111" s="492"/>
      <c r="GO111" s="476"/>
      <c r="GP111" s="476"/>
      <c r="GQ111" s="493"/>
      <c r="GR111" s="492"/>
      <c r="GS111" s="476"/>
      <c r="GT111" s="476"/>
      <c r="GU111" s="493"/>
      <c r="GV111" s="492"/>
      <c r="GW111" s="476"/>
      <c r="GX111" s="476"/>
      <c r="GY111" s="493"/>
      <c r="GZ111" s="492"/>
      <c r="HA111" s="476"/>
      <c r="HB111" s="476"/>
      <c r="HC111" s="493"/>
      <c r="HD111" s="576"/>
      <c r="HE111" s="580"/>
      <c r="HF111" s="580"/>
      <c r="HG111" s="918"/>
      <c r="HH111" s="919"/>
      <c r="HI111" s="925"/>
      <c r="HJ111" s="925"/>
      <c r="HK111" s="918"/>
      <c r="HL111" s="919"/>
      <c r="HM111" s="925"/>
      <c r="HN111" s="925"/>
      <c r="HO111" s="918"/>
      <c r="HP111" s="919"/>
      <c r="HQ111" s="925"/>
      <c r="HR111" s="925"/>
      <c r="HS111" s="918"/>
      <c r="HT111" s="919"/>
      <c r="HU111" s="925"/>
      <c r="HV111" s="925"/>
      <c r="HW111" s="918"/>
      <c r="HY111" s="492"/>
      <c r="HZ111" s="476"/>
      <c r="IA111" s="476"/>
      <c r="IB111" s="493"/>
      <c r="IC111" s="492"/>
      <c r="ID111" s="476"/>
      <c r="IE111" s="476"/>
      <c r="IF111" s="493"/>
      <c r="IG111" s="492"/>
      <c r="IH111" s="476"/>
      <c r="II111" s="476"/>
      <c r="IJ111" s="493"/>
    </row>
    <row r="112" spans="1:244">
      <c r="A112" s="554" t="s">
        <v>23</v>
      </c>
      <c r="B112" s="574">
        <v>2042</v>
      </c>
      <c r="C112" s="575">
        <f>+C111</f>
        <v>4792263.8289772645</v>
      </c>
      <c r="D112" s="575">
        <f>+D111</f>
        <v>445791.98409090913</v>
      </c>
      <c r="E112" s="575">
        <f t="shared" si="150"/>
        <v>4346471.8448863551</v>
      </c>
      <c r="F112" s="558">
        <f>+C$29*E112+D112</f>
        <v>963315.67502864567</v>
      </c>
      <c r="G112" s="575">
        <f>+G111</f>
        <v>1216327.8702272708</v>
      </c>
      <c r="H112" s="575">
        <f>+H111</f>
        <v>115840.74954545456</v>
      </c>
      <c r="I112" s="575">
        <f t="shared" si="151"/>
        <v>1100487.1206818162</v>
      </c>
      <c r="J112" s="558">
        <f>+G$29*I112+H112</f>
        <v>246873.03891706257</v>
      </c>
      <c r="K112" s="576">
        <f>+K111</f>
        <v>2977842.6710795425</v>
      </c>
      <c r="L112" s="575">
        <f>+L111</f>
        <v>305419.76113636367</v>
      </c>
      <c r="M112" s="575">
        <f t="shared" si="152"/>
        <v>2672422.9099431788</v>
      </c>
      <c r="N112" s="558">
        <f>+K$29*M112+L112</f>
        <v>623618.57098889176</v>
      </c>
      <c r="O112" s="576">
        <f>+O111</f>
        <v>1411909.7651515114</v>
      </c>
      <c r="P112" s="575">
        <f>+P111</f>
        <v>119316.31818181818</v>
      </c>
      <c r="Q112" s="575">
        <f t="shared" si="153"/>
        <v>1292593.4469696933</v>
      </c>
      <c r="R112" s="558">
        <f>+O$29*Q112+P112</f>
        <v>273222.23438939865</v>
      </c>
      <c r="S112" s="492">
        <f>+S111</f>
        <v>592876.3387878756</v>
      </c>
      <c r="T112" s="476">
        <f>+T111</f>
        <v>58315.705454545445</v>
      </c>
      <c r="U112" s="476">
        <f t="shared" si="154"/>
        <v>534560.63333333016</v>
      </c>
      <c r="V112" s="493">
        <f>+S$29*U112+T112</f>
        <v>121964.5226712396</v>
      </c>
      <c r="W112" s="492">
        <f>+W111</f>
        <v>8203974.4280303121</v>
      </c>
      <c r="X112" s="476">
        <f>+X111</f>
        <v>693293.61363636365</v>
      </c>
      <c r="Y112" s="476">
        <f t="shared" si="155"/>
        <v>7510680.8143939488</v>
      </c>
      <c r="Z112" s="493">
        <f>+W$29*Y112+X112</f>
        <v>1587571.8685601642</v>
      </c>
      <c r="AA112" s="492">
        <f>+AA111</f>
        <v>5372430.1041666651</v>
      </c>
      <c r="AB112" s="476">
        <f>+AB111</f>
        <v>450833.29545454547</v>
      </c>
      <c r="AC112" s="476">
        <f t="shared" si="156"/>
        <v>4921596.8087121192</v>
      </c>
      <c r="AD112" s="493">
        <f>+AA$29*AC112+AB112</f>
        <v>1036835.6984722228</v>
      </c>
      <c r="AE112" s="492">
        <f>+AE111</f>
        <v>52875.693181818264</v>
      </c>
      <c r="AF112" s="476">
        <f>+AF111</f>
        <v>4597.886363636364</v>
      </c>
      <c r="AG112" s="476">
        <f t="shared" si="157"/>
        <v>48277.806818181896</v>
      </c>
      <c r="AH112" s="493">
        <f>+AE$29*AG112+AF112</f>
        <v>10346.205843565673</v>
      </c>
      <c r="AI112" s="492">
        <f>+AI111</f>
        <v>3792858.7083333377</v>
      </c>
      <c r="AJ112" s="476">
        <f>+AJ111</f>
        <v>295547.43181818182</v>
      </c>
      <c r="AK112" s="476">
        <f t="shared" ref="AK112:AK132" si="161">+AI112-AJ112</f>
        <v>3497311.276515156</v>
      </c>
      <c r="AL112" s="493">
        <f>+AI$29*AK112+AJ112</f>
        <v>711963.66658792854</v>
      </c>
      <c r="AM112" s="492">
        <f>+AM111</f>
        <v>1385836.4460227278</v>
      </c>
      <c r="AN112" s="476">
        <f>+AN111</f>
        <v>110866.91568181818</v>
      </c>
      <c r="AO112" s="476">
        <f t="shared" si="158"/>
        <v>1274969.5303409095</v>
      </c>
      <c r="AP112" s="493">
        <f>+AM$29*AO112+AN112</f>
        <v>262674.39556955046</v>
      </c>
      <c r="AQ112" s="492">
        <f>+AQ111</f>
        <v>11537886.025227271</v>
      </c>
      <c r="AR112" s="476">
        <f>+AR111</f>
        <v>904932.23727272719</v>
      </c>
      <c r="AS112" s="476">
        <f t="shared" si="159"/>
        <v>10632953.787954545</v>
      </c>
      <c r="AT112" s="493">
        <f>+AQ$29*AS112+AR112</f>
        <v>2170971.8404940618</v>
      </c>
      <c r="AU112" s="575"/>
      <c r="AV112" s="575"/>
      <c r="AW112" s="575"/>
      <c r="AX112" s="558"/>
      <c r="AY112" s="575"/>
      <c r="AZ112" s="575"/>
      <c r="BA112" s="575"/>
      <c r="BB112" s="558"/>
      <c r="BC112" s="575"/>
      <c r="BD112" s="575"/>
      <c r="BE112" s="575"/>
      <c r="BF112" s="558"/>
      <c r="BG112" s="575"/>
      <c r="BH112" s="575"/>
      <c r="BI112" s="575"/>
      <c r="BJ112" s="558"/>
      <c r="BK112" s="575"/>
      <c r="BL112" s="575"/>
      <c r="BM112" s="575"/>
      <c r="BN112" s="558"/>
      <c r="BO112" s="575"/>
      <c r="BP112" s="575"/>
      <c r="BQ112" s="575"/>
      <c r="BR112" s="558"/>
      <c r="BS112" s="492">
        <f>+BS111</f>
        <v>108041.52272727301</v>
      </c>
      <c r="BT112" s="476">
        <f>+BT111</f>
        <v>8310.886363636364</v>
      </c>
      <c r="BU112" s="476">
        <f t="shared" si="160"/>
        <v>99730.636363636644</v>
      </c>
      <c r="BV112" s="493">
        <f>+BS$29*BU112+BT112</f>
        <v>20185.567454968266</v>
      </c>
      <c r="BW112" s="492">
        <f>+BW111</f>
        <v>7787356.568181837</v>
      </c>
      <c r="BX112" s="476">
        <f>+BX111</f>
        <v>576841.22727272729</v>
      </c>
      <c r="BY112" s="476">
        <f t="shared" si="20"/>
        <v>7210515.3409091095</v>
      </c>
      <c r="BZ112" s="493">
        <f>+BW$29*BY112+BX112</f>
        <v>1388379.4635567956</v>
      </c>
      <c r="CA112" s="492">
        <f>+CA111</f>
        <v>739394.0800000017</v>
      </c>
      <c r="CB112" s="476">
        <f>+CB111</f>
        <v>54433.919999999998</v>
      </c>
      <c r="CC112" s="476">
        <f t="shared" si="21"/>
        <v>684960.16000000166</v>
      </c>
      <c r="CD112" s="493">
        <f>+CA$29*CC112+CB112</f>
        <v>135990.43820580741</v>
      </c>
      <c r="CE112" s="492">
        <f>+CE111</f>
        <v>62606.635454545663</v>
      </c>
      <c r="CF112" s="476">
        <f>+CF111</f>
        <v>4725.0290909090909</v>
      </c>
      <c r="CG112" s="476">
        <f t="shared" si="22"/>
        <v>57881.606363636572</v>
      </c>
      <c r="CH112" s="493">
        <f>+CE$29*CG112+CF112</f>
        <v>11616.849314697425</v>
      </c>
      <c r="CI112" s="492">
        <f>+CI111</f>
        <v>175138.636363636</v>
      </c>
      <c r="CJ112" s="476">
        <f>+CJ111</f>
        <v>12362.727272727272</v>
      </c>
      <c r="CK112" s="476">
        <f t="shared" si="23"/>
        <v>162775.90909090874</v>
      </c>
      <c r="CL112" s="493">
        <f>+CI$29*CK112+CJ112</f>
        <v>30683.03697704263</v>
      </c>
      <c r="CM112" s="492">
        <f>+CM111</f>
        <v>9069218.416193191</v>
      </c>
      <c r="CN112" s="476">
        <f>+CN111</f>
        <v>483691.64886363636</v>
      </c>
      <c r="CO112" s="476">
        <f t="shared" si="33"/>
        <v>8585526.767329555</v>
      </c>
      <c r="CP112" s="493">
        <f>+CM$29*CO112+CN112</f>
        <v>1449986.417116611</v>
      </c>
      <c r="CQ112" s="492">
        <f>+CQ111</f>
        <v>37832549.330965914</v>
      </c>
      <c r="CR112" s="476">
        <f>+CR111</f>
        <v>2017735.9643181816</v>
      </c>
      <c r="CS112" s="476">
        <f t="shared" si="38"/>
        <v>35814813.366647735</v>
      </c>
      <c r="CT112" s="493">
        <f>+CQ$29*CS112+CR112</f>
        <v>6048667.0556800682</v>
      </c>
      <c r="CU112" s="492">
        <f>+CU111</f>
        <v>12847712.077500023</v>
      </c>
      <c r="CV112" s="476">
        <f>+CV111</f>
        <v>676195.37250000006</v>
      </c>
      <c r="CW112" s="476">
        <f t="shared" si="39"/>
        <v>12171516.705000022</v>
      </c>
      <c r="CX112" s="493">
        <f>+CU$29*CW112+CV112</f>
        <v>2046090.6896400379</v>
      </c>
      <c r="CY112" s="492">
        <f>+CY111</f>
        <v>14307.615340909106</v>
      </c>
      <c r="CZ112" s="476">
        <f>+CZ111</f>
        <v>733.72386363636497</v>
      </c>
      <c r="DA112" s="476">
        <f t="shared" si="40"/>
        <v>13573.89147727274</v>
      </c>
      <c r="DB112" s="493">
        <f>+CY$29*DA112+CZ112</f>
        <v>2261.455437339444</v>
      </c>
      <c r="DC112" s="492">
        <f>+DC111</f>
        <v>857215.45000000193</v>
      </c>
      <c r="DD112" s="476">
        <f>+DD111</f>
        <v>44530.672727272722</v>
      </c>
      <c r="DE112" s="476">
        <f t="shared" si="41"/>
        <v>812684.7772727292</v>
      </c>
      <c r="DF112" s="493">
        <f>+DC$29*DE112+DD112</f>
        <v>135997.75096244196</v>
      </c>
      <c r="DG112" s="492">
        <f>+DG111</f>
        <v>480469.74920454447</v>
      </c>
      <c r="DH112" s="476">
        <f>+DH111</f>
        <v>24639.474318181816</v>
      </c>
      <c r="DI112" s="476">
        <f t="shared" si="42"/>
        <v>455830.27488636266</v>
      </c>
      <c r="DJ112" s="493">
        <f>+DG$29*DI112+DH112</f>
        <v>75942.838895660185</v>
      </c>
      <c r="DK112" s="492">
        <f>+DK111</f>
        <v>10535127.169886369</v>
      </c>
      <c r="DL112" s="476">
        <f>+DL111</f>
        <v>549658.80886363634</v>
      </c>
      <c r="DM112" s="476">
        <f t="shared" si="43"/>
        <v>9985468.3610227332</v>
      </c>
      <c r="DN112" s="493">
        <f>+DK$29*DM112+DL112</f>
        <v>1673515.9812073051</v>
      </c>
      <c r="DO112" s="492">
        <f>+DO111</f>
        <v>395119.52791666635</v>
      </c>
      <c r="DP112" s="476">
        <f>+DP111</f>
        <v>19592.703863636354</v>
      </c>
      <c r="DQ112" s="476">
        <f t="shared" si="148"/>
        <v>375526.82405303</v>
      </c>
      <c r="DR112" s="493">
        <f>+DO$29*DQ112+DP112</f>
        <v>61857.973689819104</v>
      </c>
      <c r="DS112" s="492">
        <f>+DS111</f>
        <v>170062.9309090905</v>
      </c>
      <c r="DT112" s="476">
        <f>+DT111</f>
        <v>8295.7527272726966</v>
      </c>
      <c r="DU112" s="476">
        <f t="shared" si="58"/>
        <v>161767.17818181781</v>
      </c>
      <c r="DV112" s="493">
        <f>+DS$29*DU112+DT112</f>
        <v>26502.530504375536</v>
      </c>
      <c r="DW112" s="492">
        <f>+DW111</f>
        <v>24740.709034090858</v>
      </c>
      <c r="DX112" s="476">
        <f>+DX111</f>
        <v>1221.7634090909089</v>
      </c>
      <c r="DY112" s="476">
        <f t="shared" si="59"/>
        <v>23518.945624999949</v>
      </c>
      <c r="DZ112" s="493">
        <f>+DW$29*DY112+DX112</f>
        <v>3868.8035649429203</v>
      </c>
      <c r="EA112" s="492">
        <f>+EA111</f>
        <v>-148932.97494318284</v>
      </c>
      <c r="EB112" s="476">
        <f>+EB111</f>
        <v>-7120.3015909091364</v>
      </c>
      <c r="EC112" s="476">
        <f t="shared" si="60"/>
        <v>-141812.6733522737</v>
      </c>
      <c r="ED112" s="493">
        <f>+EA$29*EC112+EB112</f>
        <v>-23081.2144208266</v>
      </c>
      <c r="EE112" s="576">
        <f>+EE111</f>
        <v>4315106.1540909186</v>
      </c>
      <c r="EF112" s="580">
        <f>+EF111</f>
        <v>192495.44181818186</v>
      </c>
      <c r="EG112" s="580">
        <f t="shared" si="69"/>
        <v>4122610.7122727367</v>
      </c>
      <c r="EH112" s="493">
        <f>+EE$29*EG112+EF112</f>
        <v>656492.26703009522</v>
      </c>
      <c r="EI112" s="576">
        <f>+EI111</f>
        <v>175729.93632575742</v>
      </c>
      <c r="EJ112" s="580">
        <f>+EJ111</f>
        <v>7696.2015909090906</v>
      </c>
      <c r="EK112" s="580">
        <f t="shared" si="70"/>
        <v>168033.73473484832</v>
      </c>
      <c r="EL112" s="493">
        <f>+EI$29*EK112+EJ112</f>
        <v>26608.275732027367</v>
      </c>
      <c r="EM112" s="576">
        <f>+EM111</f>
        <v>6009358.5538636334</v>
      </c>
      <c r="EN112" s="580">
        <f>+EN111</f>
        <v>261276.45886363636</v>
      </c>
      <c r="EO112" s="580">
        <f t="shared" si="71"/>
        <v>5748082.0949999969</v>
      </c>
      <c r="EP112" s="493">
        <f>+EM$29*EO112+EN112</f>
        <v>908218.90123339195</v>
      </c>
      <c r="EQ112" s="576">
        <f>+EQ111</f>
        <v>11763630.138863621</v>
      </c>
      <c r="ER112" s="580">
        <f>+ER111</f>
        <v>500580.00590909086</v>
      </c>
      <c r="ES112" s="580">
        <f t="shared" si="94"/>
        <v>11263050.13295453</v>
      </c>
      <c r="ET112" s="493">
        <f>+EQ$29*ES112+ER112</f>
        <v>1768228.0737550335</v>
      </c>
      <c r="EU112" s="576">
        <f>+EU111</f>
        <v>15200168.373181816</v>
      </c>
      <c r="EV112" s="580">
        <f>+EV111</f>
        <v>646815.67545454553</v>
      </c>
      <c r="EW112" s="580">
        <f t="shared" si="95"/>
        <v>14553352.69772727</v>
      </c>
      <c r="EX112" s="493">
        <f>+EU$29*EW112+EV112</f>
        <v>2284784.8942877287</v>
      </c>
      <c r="EY112" s="582">
        <f t="shared" si="103"/>
        <v>26742155.767348099</v>
      </c>
      <c r="EZ112" s="579">
        <f>+EY112</f>
        <v>26742155.767348099</v>
      </c>
      <c r="FA112" s="553"/>
      <c r="FD112" s="492"/>
      <c r="FE112" s="476"/>
      <c r="FF112" s="476"/>
      <c r="FG112" s="493"/>
      <c r="FH112" s="492"/>
      <c r="FI112" s="476"/>
      <c r="FJ112" s="476"/>
      <c r="FK112" s="493"/>
      <c r="FL112" s="492"/>
      <c r="FM112" s="476"/>
      <c r="FN112" s="476"/>
      <c r="FO112" s="493"/>
      <c r="FP112" s="492"/>
      <c r="FQ112" s="476"/>
      <c r="FR112" s="476"/>
      <c r="FS112" s="493"/>
      <c r="FT112" s="492"/>
      <c r="FU112" s="476"/>
      <c r="FV112" s="476"/>
      <c r="FW112" s="493"/>
      <c r="FX112" s="492"/>
      <c r="FY112" s="476"/>
      <c r="FZ112" s="476"/>
      <c r="GA112" s="493"/>
      <c r="GB112" s="492"/>
      <c r="GC112" s="476"/>
      <c r="GD112" s="476"/>
      <c r="GE112" s="493"/>
      <c r="GF112" s="492"/>
      <c r="GG112" s="476"/>
      <c r="GH112" s="476"/>
      <c r="GI112" s="493"/>
      <c r="GJ112" s="492"/>
      <c r="GK112" s="476"/>
      <c r="GL112" s="476"/>
      <c r="GM112" s="493"/>
      <c r="GN112" s="492"/>
      <c r="GO112" s="476"/>
      <c r="GP112" s="476"/>
      <c r="GQ112" s="493"/>
      <c r="GR112" s="492"/>
      <c r="GS112" s="476"/>
      <c r="GT112" s="476"/>
      <c r="GU112" s="493"/>
      <c r="GV112" s="492"/>
      <c r="GW112" s="476"/>
      <c r="GX112" s="476"/>
      <c r="GY112" s="493"/>
      <c r="GZ112" s="492"/>
      <c r="HA112" s="476"/>
      <c r="HB112" s="476"/>
      <c r="HC112" s="493"/>
      <c r="HD112" s="576"/>
      <c r="HE112" s="580"/>
      <c r="HF112" s="580"/>
      <c r="HG112" s="918"/>
      <c r="HH112" s="919"/>
      <c r="HI112" s="925"/>
      <c r="HJ112" s="925"/>
      <c r="HK112" s="918"/>
      <c r="HL112" s="919"/>
      <c r="HM112" s="925"/>
      <c r="HN112" s="925"/>
      <c r="HO112" s="918"/>
      <c r="HP112" s="919"/>
      <c r="HQ112" s="925"/>
      <c r="HR112" s="925"/>
      <c r="HS112" s="918"/>
      <c r="HT112" s="919"/>
      <c r="HU112" s="925"/>
      <c r="HV112" s="925"/>
      <c r="HW112" s="918"/>
      <c r="HY112" s="492"/>
      <c r="HZ112" s="476"/>
      <c r="IA112" s="476"/>
      <c r="IB112" s="493"/>
      <c r="IC112" s="492"/>
      <c r="ID112" s="476"/>
      <c r="IE112" s="476"/>
      <c r="IF112" s="493"/>
      <c r="IG112" s="492"/>
      <c r="IH112" s="476"/>
      <c r="II112" s="476"/>
      <c r="IJ112" s="493"/>
    </row>
    <row r="113" spans="1:244">
      <c r="A113" s="554" t="s">
        <v>24</v>
      </c>
      <c r="B113" s="574">
        <v>2043</v>
      </c>
      <c r="C113" s="575">
        <f>+E112</f>
        <v>4346471.8448863551</v>
      </c>
      <c r="D113" s="575">
        <f>+C$31</f>
        <v>445791.98409090913</v>
      </c>
      <c r="E113" s="575">
        <f t="shared" si="150"/>
        <v>3900679.8607954457</v>
      </c>
      <c r="F113" s="558">
        <f>+C$28*E113+D113</f>
        <v>884810.65402963851</v>
      </c>
      <c r="G113" s="575">
        <f>+I112</f>
        <v>1100487.1206818162</v>
      </c>
      <c r="H113" s="575">
        <f>+G$31</f>
        <v>115840.74954545456</v>
      </c>
      <c r="I113" s="575">
        <f t="shared" si="151"/>
        <v>984646.37113636173</v>
      </c>
      <c r="J113" s="558">
        <f>+G$28*I113+H113</f>
        <v>226661.97959844582</v>
      </c>
      <c r="K113" s="576">
        <f>+M112</f>
        <v>2672422.9099431788</v>
      </c>
      <c r="L113" s="575">
        <f>+K$31</f>
        <v>305419.76113636367</v>
      </c>
      <c r="M113" s="575">
        <f t="shared" si="152"/>
        <v>2367003.148806815</v>
      </c>
      <c r="N113" s="558">
        <f>+K$28*M113+L113</f>
        <v>571824.23707765306</v>
      </c>
      <c r="O113" s="576">
        <f>+Q112</f>
        <v>1292593.4469696933</v>
      </c>
      <c r="P113" s="575">
        <f>+O$31</f>
        <v>119316.31818181818</v>
      </c>
      <c r="Q113" s="575">
        <f t="shared" si="153"/>
        <v>1173277.1287878752</v>
      </c>
      <c r="R113" s="558">
        <f>+O$28*Q113+P113</f>
        <v>251367.80226463254</v>
      </c>
      <c r="S113" s="492">
        <f>+U112</f>
        <v>534560.63333333016</v>
      </c>
      <c r="T113" s="476">
        <f>+S$31</f>
        <v>58315.705454545445</v>
      </c>
      <c r="U113" s="476">
        <f t="shared" si="154"/>
        <v>476244.92787878471</v>
      </c>
      <c r="V113" s="493">
        <f>+S$28*U113+T113</f>
        <v>111916.72431892707</v>
      </c>
      <c r="W113" s="492">
        <f>+Y112</f>
        <v>7510680.8143939488</v>
      </c>
      <c r="X113" s="476">
        <f>+W$31</f>
        <v>693293.61363636365</v>
      </c>
      <c r="Y113" s="476">
        <f t="shared" si="155"/>
        <v>6817387.2007575855</v>
      </c>
      <c r="Z113" s="493">
        <f>+W$28*Y113+X113</f>
        <v>1460585.5648203744</v>
      </c>
      <c r="AA113" s="492">
        <f>+AC112</f>
        <v>4921596.8087121192</v>
      </c>
      <c r="AB113" s="476">
        <f>+AA$31</f>
        <v>450833.29545454547</v>
      </c>
      <c r="AC113" s="476">
        <f t="shared" si="156"/>
        <v>4470763.5132575734</v>
      </c>
      <c r="AD113" s="493">
        <f>+AA$28*AC113+AB113</f>
        <v>954014.46418565162</v>
      </c>
      <c r="AE113" s="492">
        <f>+AG112</f>
        <v>48277.806818181896</v>
      </c>
      <c r="AF113" s="476">
        <f>+AE$31</f>
        <v>4597.886363636364</v>
      </c>
      <c r="AG113" s="476">
        <f t="shared" si="157"/>
        <v>43679.920454545529</v>
      </c>
      <c r="AH113" s="493">
        <f>+AE$28*AG113+AF113</f>
        <v>9514.0295144033062</v>
      </c>
      <c r="AI113" s="492">
        <f>+AK112</f>
        <v>3497311.276515156</v>
      </c>
      <c r="AJ113" s="476">
        <f>+AI$31</f>
        <v>295547.43181818182</v>
      </c>
      <c r="AK113" s="476">
        <f t="shared" si="161"/>
        <v>3201763.8446969744</v>
      </c>
      <c r="AL113" s="493">
        <f>+AI$28*AK113+AJ113</f>
        <v>655903.61451453227</v>
      </c>
      <c r="AM113" s="492">
        <f>+AO112</f>
        <v>1274969.5303409095</v>
      </c>
      <c r="AN113" s="476">
        <f>+AM$31</f>
        <v>110866.91568181818</v>
      </c>
      <c r="AO113" s="476">
        <f t="shared" si="158"/>
        <v>1164102.6146590912</v>
      </c>
      <c r="AP113" s="493">
        <f>+AM$28*AO113+AN113</f>
        <v>241885.81489894417</v>
      </c>
      <c r="AQ113" s="492">
        <f>+AS112</f>
        <v>10632953.787954545</v>
      </c>
      <c r="AR113" s="476">
        <f>+AQ$31</f>
        <v>904932.23727272719</v>
      </c>
      <c r="AS113" s="476">
        <f t="shared" si="159"/>
        <v>9728021.5506818183</v>
      </c>
      <c r="AT113" s="493">
        <f>+AQ$28*AS113+AR113</f>
        <v>1999813.9591079326</v>
      </c>
      <c r="AU113" s="575"/>
      <c r="AV113" s="575"/>
      <c r="AW113" s="575"/>
      <c r="AX113" s="558"/>
      <c r="AY113" s="575"/>
      <c r="AZ113" s="575"/>
      <c r="BA113" s="575"/>
      <c r="BB113" s="558"/>
      <c r="BC113" s="575"/>
      <c r="BD113" s="575"/>
      <c r="BE113" s="575"/>
      <c r="BF113" s="558"/>
      <c r="BG113" s="575"/>
      <c r="BH113" s="575"/>
      <c r="BI113" s="575"/>
      <c r="BJ113" s="558"/>
      <c r="BK113" s="575"/>
      <c r="BL113" s="575"/>
      <c r="BM113" s="575"/>
      <c r="BN113" s="558"/>
      <c r="BO113" s="575"/>
      <c r="BP113" s="575"/>
      <c r="BQ113" s="575"/>
      <c r="BR113" s="558"/>
      <c r="BS113" s="492">
        <f>+BU112</f>
        <v>99730.636363636644</v>
      </c>
      <c r="BT113" s="476">
        <f>+BS$31</f>
        <v>8310.886363636364</v>
      </c>
      <c r="BU113" s="476">
        <f t="shared" si="160"/>
        <v>91419.750000000276</v>
      </c>
      <c r="BV113" s="493">
        <f>+BS$28*BU113+BT113</f>
        <v>18600.11246868431</v>
      </c>
      <c r="BW113" s="492">
        <f>+BY112</f>
        <v>7210515.3409091095</v>
      </c>
      <c r="BX113" s="476">
        <f>+BW$31</f>
        <v>576841.22727272729</v>
      </c>
      <c r="BY113" s="476">
        <f t="shared" si="20"/>
        <v>6633674.1136363819</v>
      </c>
      <c r="BZ113" s="493">
        <f>+BW$28*BY113+BX113</f>
        <v>1323456.4046540703</v>
      </c>
      <c r="CA113" s="492">
        <f>+CC112</f>
        <v>684960.16000000166</v>
      </c>
      <c r="CB113" s="476">
        <f>+CA$31</f>
        <v>54433.919999999998</v>
      </c>
      <c r="CC113" s="476">
        <f t="shared" si="21"/>
        <v>630526.24000000162</v>
      </c>
      <c r="CD113" s="493">
        <f>+CA$28*CC113+CB113</f>
        <v>125399.18788276846</v>
      </c>
      <c r="CE113" s="492">
        <f>+CG112</f>
        <v>57881.606363636572</v>
      </c>
      <c r="CF113" s="476">
        <f>+CE$31</f>
        <v>4725.0290909090909</v>
      </c>
      <c r="CG113" s="476">
        <f t="shared" si="22"/>
        <v>53156.577272727482</v>
      </c>
      <c r="CH113" s="493">
        <f>+CE$28*CG113+CF113</f>
        <v>10707.763046422469</v>
      </c>
      <c r="CI113" s="492">
        <f>+CK112</f>
        <v>162775.90909090874</v>
      </c>
      <c r="CJ113" s="476">
        <f>+CI$31</f>
        <v>12362.727272727272</v>
      </c>
      <c r="CK113" s="476">
        <f t="shared" si="23"/>
        <v>150413.18181818147</v>
      </c>
      <c r="CL113" s="493">
        <f>+CI$28*CK113+CJ113</f>
        <v>29291.621050132602</v>
      </c>
      <c r="CM113" s="492">
        <f>+CO112</f>
        <v>8585526.767329555</v>
      </c>
      <c r="CN113" s="476">
        <f>+CM$31</f>
        <v>483691.64886363636</v>
      </c>
      <c r="CO113" s="476">
        <f t="shared" si="33"/>
        <v>8101835.118465919</v>
      </c>
      <c r="CP113" s="493">
        <f>+CM$28*CO113+CN113</f>
        <v>1395547.2752432041</v>
      </c>
      <c r="CQ113" s="492">
        <f>+CS112</f>
        <v>35814813.366647735</v>
      </c>
      <c r="CR113" s="476">
        <f>+CQ$31</f>
        <v>2017735.9643181816</v>
      </c>
      <c r="CS113" s="476">
        <f t="shared" si="38"/>
        <v>33797077.402329557</v>
      </c>
      <c r="CT113" s="493">
        <f>+CQ$28*CS113+CR113</f>
        <v>5821572.3463075673</v>
      </c>
      <c r="CU113" s="492">
        <f>+CW112</f>
        <v>12171516.705000022</v>
      </c>
      <c r="CV113" s="476">
        <f>+CU$31</f>
        <v>676195.37250000006</v>
      </c>
      <c r="CW113" s="476">
        <f t="shared" si="39"/>
        <v>11495321.332500022</v>
      </c>
      <c r="CX113" s="493">
        <f>+CU$28*CW113+CV113</f>
        <v>1969985.3942433693</v>
      </c>
      <c r="CY113" s="492">
        <f>+DA112</f>
        <v>13573.89147727274</v>
      </c>
      <c r="CZ113" s="476">
        <f>+CY$31</f>
        <v>733.72386363636497</v>
      </c>
      <c r="DA113" s="476">
        <f t="shared" si="40"/>
        <v>12840.167613636375</v>
      </c>
      <c r="DB113" s="493">
        <f>+CY$28*DA113+CZ113</f>
        <v>2178.8753522744128</v>
      </c>
      <c r="DC113" s="492">
        <f>+DE112</f>
        <v>812684.7772727292</v>
      </c>
      <c r="DD113" s="476">
        <f>+DC$31</f>
        <v>44530.672727272722</v>
      </c>
      <c r="DE113" s="476">
        <f t="shared" si="41"/>
        <v>768154.10454545647</v>
      </c>
      <c r="DF113" s="493">
        <f>+DC$28*DE113+DD113</f>
        <v>130985.85626462448</v>
      </c>
      <c r="DG113" s="492">
        <f>+DI112</f>
        <v>455830.27488636266</v>
      </c>
      <c r="DH113" s="476">
        <f>+DG$31</f>
        <v>24639.474318181816</v>
      </c>
      <c r="DI113" s="476">
        <f t="shared" si="42"/>
        <v>431190.80056818086</v>
      </c>
      <c r="DJ113" s="493">
        <f>+DG$28*DI113+DH113</f>
        <v>73169.684053634322</v>
      </c>
      <c r="DK113" s="492">
        <f>+DM112</f>
        <v>9985468.3610227332</v>
      </c>
      <c r="DL113" s="476">
        <f>+DK$31</f>
        <v>549658.80886363634</v>
      </c>
      <c r="DM113" s="476">
        <f t="shared" si="43"/>
        <v>9435809.552159097</v>
      </c>
      <c r="DN113" s="493">
        <f>+DK$28*DM113+DL113</f>
        <v>1611652.283647103</v>
      </c>
      <c r="DO113" s="492">
        <f>+DQ112</f>
        <v>375526.82405303</v>
      </c>
      <c r="DP113" s="476">
        <f>+DO$31</f>
        <v>19592.703863636354</v>
      </c>
      <c r="DQ113" s="476">
        <f t="shared" si="148"/>
        <v>355934.12018939364</v>
      </c>
      <c r="DR113" s="493">
        <f>+DO$28*DQ113+DP113</f>
        <v>59652.829177148698</v>
      </c>
      <c r="DS113" s="492">
        <f>+DU112</f>
        <v>161767.17818181781</v>
      </c>
      <c r="DT113" s="476">
        <f>+DS$31</f>
        <v>8295.7527272726966</v>
      </c>
      <c r="DU113" s="476">
        <f t="shared" si="58"/>
        <v>153471.42545454513</v>
      </c>
      <c r="DV113" s="493">
        <f>+DS$28*DU113+DT113</f>
        <v>25568.849592729239</v>
      </c>
      <c r="DW113" s="492">
        <f>+DY112</f>
        <v>23518.945624999949</v>
      </c>
      <c r="DX113" s="476">
        <f>+DW$31</f>
        <v>1221.7634090909089</v>
      </c>
      <c r="DY113" s="476">
        <f t="shared" si="59"/>
        <v>22297.182215909041</v>
      </c>
      <c r="DZ113" s="493">
        <f>+DW$28*DY113+DX113</f>
        <v>3731.2949854181397</v>
      </c>
      <c r="EA113" s="492">
        <f>+EC112</f>
        <v>-141812.6733522737</v>
      </c>
      <c r="EB113" s="476">
        <f>+EA$31</f>
        <v>-7120.3015909091364</v>
      </c>
      <c r="EC113" s="476">
        <f t="shared" si="60"/>
        <v>-134692.37176136457</v>
      </c>
      <c r="ED113" s="493">
        <f>+EA$28*EC113+EB113</f>
        <v>-22279.829676228233</v>
      </c>
      <c r="EE113" s="576">
        <f>+EG112</f>
        <v>4122610.7122727367</v>
      </c>
      <c r="EF113" s="580">
        <f>+EE$31</f>
        <v>192495.44181818186</v>
      </c>
      <c r="EG113" s="580">
        <f t="shared" si="69"/>
        <v>3930115.2704545548</v>
      </c>
      <c r="EH113" s="493">
        <f>+EE$28*EG113+EF113</f>
        <v>634827.04561942222</v>
      </c>
      <c r="EI113" s="576">
        <f>+EK112</f>
        <v>168033.73473484832</v>
      </c>
      <c r="EJ113" s="580">
        <f>+EI$31</f>
        <v>7696.2015909090906</v>
      </c>
      <c r="EK113" s="580">
        <f t="shared" si="70"/>
        <v>160337.53314393922</v>
      </c>
      <c r="EL113" s="493">
        <f>+EI$28*EK113+EJ113</f>
        <v>25742.073862968515</v>
      </c>
      <c r="EM113" s="576">
        <f>+EO112</f>
        <v>5748082.0949999969</v>
      </c>
      <c r="EN113" s="580">
        <f>+EM$31</f>
        <v>261276.45886363636</v>
      </c>
      <c r="EO113" s="580">
        <f t="shared" si="71"/>
        <v>5486805.6361363605</v>
      </c>
      <c r="EP113" s="493">
        <f>+EM$28*EO113+EN113</f>
        <v>878812.42658022128</v>
      </c>
      <c r="EQ113" s="576">
        <f>+ES112</f>
        <v>11263050.13295453</v>
      </c>
      <c r="ER113" s="580">
        <f>+EQ$31</f>
        <v>500580.00590909086</v>
      </c>
      <c r="ES113" s="580">
        <f t="shared" si="94"/>
        <v>10762470.12704544</v>
      </c>
      <c r="ET113" s="493">
        <f>+EQ$28*ES113+ER113</f>
        <v>1711888.159628547</v>
      </c>
      <c r="EU113" s="576">
        <f>+EW112</f>
        <v>14553352.69772727</v>
      </c>
      <c r="EV113" s="580">
        <f>+EU$31</f>
        <v>646815.67545454553</v>
      </c>
      <c r="EW113" s="580">
        <f t="shared" si="95"/>
        <v>13906537.022272725</v>
      </c>
      <c r="EX113" s="493">
        <f>+EU$28*EW113+EV113</f>
        <v>2211986.2623395873</v>
      </c>
      <c r="EY113" s="582">
        <f t="shared" si="103"/>
        <v>25410774.760654803</v>
      </c>
      <c r="EZ113" s="557"/>
      <c r="FA113" s="578">
        <f>+EY113</f>
        <v>25410774.760654803</v>
      </c>
      <c r="FD113" s="492"/>
      <c r="FE113" s="476"/>
      <c r="FF113" s="476"/>
      <c r="FG113" s="493"/>
      <c r="FH113" s="492"/>
      <c r="FI113" s="476"/>
      <c r="FJ113" s="476"/>
      <c r="FK113" s="493"/>
      <c r="FL113" s="492"/>
      <c r="FM113" s="476"/>
      <c r="FN113" s="476"/>
      <c r="FO113" s="493"/>
      <c r="FP113" s="492"/>
      <c r="FQ113" s="476"/>
      <c r="FR113" s="476"/>
      <c r="FS113" s="493"/>
      <c r="FT113" s="492"/>
      <c r="FU113" s="476"/>
      <c r="FV113" s="476"/>
      <c r="FW113" s="493"/>
      <c r="FX113" s="492"/>
      <c r="FY113" s="476"/>
      <c r="FZ113" s="476"/>
      <c r="GA113" s="493"/>
      <c r="GB113" s="492"/>
      <c r="GC113" s="476"/>
      <c r="GD113" s="476"/>
      <c r="GE113" s="493"/>
      <c r="GF113" s="492"/>
      <c r="GG113" s="476"/>
      <c r="GH113" s="476"/>
      <c r="GI113" s="493"/>
      <c r="GJ113" s="492"/>
      <c r="GK113" s="476"/>
      <c r="GL113" s="476"/>
      <c r="GM113" s="493"/>
      <c r="GN113" s="492"/>
      <c r="GO113" s="476"/>
      <c r="GP113" s="476"/>
      <c r="GQ113" s="493"/>
      <c r="GR113" s="492"/>
      <c r="GS113" s="476"/>
      <c r="GT113" s="476"/>
      <c r="GU113" s="493"/>
      <c r="GV113" s="492"/>
      <c r="GW113" s="476"/>
      <c r="GX113" s="476"/>
      <c r="GY113" s="493"/>
      <c r="GZ113" s="492"/>
      <c r="HA113" s="476"/>
      <c r="HB113" s="476"/>
      <c r="HC113" s="493"/>
      <c r="HD113" s="576"/>
      <c r="HE113" s="580"/>
      <c r="HF113" s="580"/>
      <c r="HG113" s="918"/>
      <c r="HH113" s="919"/>
      <c r="HI113" s="925"/>
      <c r="HJ113" s="925"/>
      <c r="HK113" s="918"/>
      <c r="HL113" s="919"/>
      <c r="HM113" s="925"/>
      <c r="HN113" s="925"/>
      <c r="HO113" s="918"/>
      <c r="HP113" s="919"/>
      <c r="HQ113" s="925"/>
      <c r="HR113" s="925"/>
      <c r="HS113" s="918"/>
      <c r="HT113" s="919"/>
      <c r="HU113" s="925"/>
      <c r="HV113" s="925"/>
      <c r="HW113" s="918"/>
      <c r="HY113" s="492"/>
      <c r="HZ113" s="476"/>
      <c r="IA113" s="476"/>
      <c r="IB113" s="493"/>
      <c r="IC113" s="492"/>
      <c r="ID113" s="476"/>
      <c r="IE113" s="476"/>
      <c r="IF113" s="493"/>
      <c r="IG113" s="492"/>
      <c r="IH113" s="476"/>
      <c r="II113" s="476"/>
      <c r="IJ113" s="493"/>
    </row>
    <row r="114" spans="1:244">
      <c r="A114" s="554" t="s">
        <v>23</v>
      </c>
      <c r="B114" s="574">
        <v>2043</v>
      </c>
      <c r="C114" s="575">
        <f>+C113</f>
        <v>4346471.8448863551</v>
      </c>
      <c r="D114" s="575">
        <f>+D113</f>
        <v>445791.98409090913</v>
      </c>
      <c r="E114" s="575">
        <f t="shared" si="150"/>
        <v>3900679.8607954457</v>
      </c>
      <c r="F114" s="558">
        <f>+C$29*E114+D114</f>
        <v>910236.32211195468</v>
      </c>
      <c r="G114" s="575">
        <f>+G113</f>
        <v>1100487.1206818162</v>
      </c>
      <c r="H114" s="575">
        <f>+H113</f>
        <v>115840.74954545456</v>
      </c>
      <c r="I114" s="575">
        <f t="shared" si="151"/>
        <v>984646.37113636173</v>
      </c>
      <c r="J114" s="558">
        <f>+G$29*I114+H114</f>
        <v>233080.16635163012</v>
      </c>
      <c r="K114" s="576">
        <f>+K113</f>
        <v>2672422.9099431788</v>
      </c>
      <c r="L114" s="575">
        <f>+L113</f>
        <v>305419.76113636367</v>
      </c>
      <c r="M114" s="575">
        <f t="shared" si="152"/>
        <v>2367003.148806815</v>
      </c>
      <c r="N114" s="558">
        <f>+K$29*M114+L114</f>
        <v>587252.99272003141</v>
      </c>
      <c r="O114" s="576">
        <f>+O113</f>
        <v>1292593.4469696933</v>
      </c>
      <c r="P114" s="575">
        <f>+P113</f>
        <v>119316.31818181818</v>
      </c>
      <c r="Q114" s="575">
        <f t="shared" si="153"/>
        <v>1173277.1287878752</v>
      </c>
      <c r="R114" s="558">
        <f>+O$29*Q114+P114</f>
        <v>259015.5344317758</v>
      </c>
      <c r="S114" s="492">
        <f>+S113</f>
        <v>534560.63333333016</v>
      </c>
      <c r="T114" s="476">
        <f>+T113</f>
        <v>58315.705454545445</v>
      </c>
      <c r="U114" s="476">
        <f t="shared" si="154"/>
        <v>476244.92787878471</v>
      </c>
      <c r="V114" s="493">
        <f>+S$29*U114+T114</f>
        <v>115021.01533850929</v>
      </c>
      <c r="W114" s="492">
        <f>+W113</f>
        <v>7510680.8143939488</v>
      </c>
      <c r="X114" s="476">
        <f>+X113</f>
        <v>693293.61363636365</v>
      </c>
      <c r="Y114" s="476">
        <f t="shared" si="155"/>
        <v>6817387.2007575855</v>
      </c>
      <c r="Z114" s="493">
        <f>+W$29*Y114+X114</f>
        <v>1505023.1065671979</v>
      </c>
      <c r="AA114" s="492">
        <f>+AA113</f>
        <v>4921596.8087121192</v>
      </c>
      <c r="AB114" s="476">
        <f>+AB113</f>
        <v>450833.29545454547</v>
      </c>
      <c r="AC114" s="476">
        <f t="shared" si="156"/>
        <v>4470763.5132575734</v>
      </c>
      <c r="AD114" s="493">
        <f>+AA$29*AC114+AB114</f>
        <v>983156.0890354889</v>
      </c>
      <c r="AE114" s="492">
        <f>+AE113</f>
        <v>48277.806818181896</v>
      </c>
      <c r="AF114" s="476">
        <f>+AF113</f>
        <v>4597.886363636364</v>
      </c>
      <c r="AG114" s="476">
        <f t="shared" si="157"/>
        <v>43679.920454545529</v>
      </c>
      <c r="AH114" s="493">
        <f>+AE$29*AG114+AF114</f>
        <v>9798.7468454771679</v>
      </c>
      <c r="AI114" s="492">
        <f>+AI113</f>
        <v>3497311.276515156</v>
      </c>
      <c r="AJ114" s="476">
        <f>+AJ113</f>
        <v>295547.43181818182</v>
      </c>
      <c r="AK114" s="476">
        <f t="shared" si="161"/>
        <v>3201763.8446969744</v>
      </c>
      <c r="AL114" s="493">
        <f>+AI$29*AK114+AJ114</f>
        <v>676773.56224118941</v>
      </c>
      <c r="AM114" s="492">
        <f>+AM113</f>
        <v>1274969.5303409095</v>
      </c>
      <c r="AN114" s="476">
        <f>+AN113</f>
        <v>110866.91568181818</v>
      </c>
      <c r="AO114" s="476">
        <f t="shared" si="158"/>
        <v>1164102.6146590912</v>
      </c>
      <c r="AP114" s="493">
        <f>+AM$29*AO114+AN114</f>
        <v>249473.74514453026</v>
      </c>
      <c r="AQ114" s="492">
        <f>+AQ113</f>
        <v>10632953.787954545</v>
      </c>
      <c r="AR114" s="476">
        <f>+AR113</f>
        <v>904932.23727272719</v>
      </c>
      <c r="AS114" s="476">
        <f t="shared" si="159"/>
        <v>9728021.5506818183</v>
      </c>
      <c r="AT114" s="493">
        <f>+AQ$29*AS114+AR114</f>
        <v>2063223.789156076</v>
      </c>
      <c r="AU114" s="575"/>
      <c r="AV114" s="575"/>
      <c r="AW114" s="575"/>
      <c r="AX114" s="558"/>
      <c r="AY114" s="575"/>
      <c r="AZ114" s="575"/>
      <c r="BA114" s="575"/>
      <c r="BB114" s="558"/>
      <c r="BC114" s="575"/>
      <c r="BD114" s="575"/>
      <c r="BE114" s="575"/>
      <c r="BF114" s="558"/>
      <c r="BG114" s="575"/>
      <c r="BH114" s="575"/>
      <c r="BI114" s="575"/>
      <c r="BJ114" s="558"/>
      <c r="BK114" s="575"/>
      <c r="BL114" s="575"/>
      <c r="BM114" s="575"/>
      <c r="BN114" s="558"/>
      <c r="BO114" s="575"/>
      <c r="BP114" s="575"/>
      <c r="BQ114" s="575"/>
      <c r="BR114" s="558"/>
      <c r="BS114" s="492">
        <f>+BS113</f>
        <v>99730.636363636644</v>
      </c>
      <c r="BT114" s="476">
        <f>+BT113</f>
        <v>8310.886363636364</v>
      </c>
      <c r="BU114" s="476">
        <f t="shared" si="160"/>
        <v>91419.750000000276</v>
      </c>
      <c r="BV114" s="493">
        <f>+BS$29*BU114+BT114</f>
        <v>19196.010697357277</v>
      </c>
      <c r="BW114" s="492">
        <f>+BW113</f>
        <v>7210515.3409091095</v>
      </c>
      <c r="BX114" s="476">
        <f>+BX113</f>
        <v>576841.22727272729</v>
      </c>
      <c r="BY114" s="476">
        <f t="shared" ref="BY114:BY132" si="162">+BW114-BX114</f>
        <v>6633674.1136363819</v>
      </c>
      <c r="BZ114" s="493">
        <f>+BW$29*BY114+BX114</f>
        <v>1323456.4046540703</v>
      </c>
      <c r="CA114" s="492">
        <f>+CA113</f>
        <v>684960.16000000166</v>
      </c>
      <c r="CB114" s="476">
        <f>+CB113</f>
        <v>54433.919999999998</v>
      </c>
      <c r="CC114" s="476">
        <f t="shared" ref="CC114:CC132" si="163">+CA114-CB114</f>
        <v>630526.24000000162</v>
      </c>
      <c r="CD114" s="493">
        <f>+CA$29*CC114+CB114</f>
        <v>129509.12550071016</v>
      </c>
      <c r="CE114" s="492">
        <f>+CE113</f>
        <v>57881.606363636572</v>
      </c>
      <c r="CF114" s="476">
        <f>+CF113</f>
        <v>4725.0290909090909</v>
      </c>
      <c r="CG114" s="476">
        <f t="shared" ref="CG114:CG132" si="164">+CE114-CF114</f>
        <v>53156.577272727482</v>
      </c>
      <c r="CH114" s="493">
        <f>+CE$29*CG114+CF114</f>
        <v>11054.251745408585</v>
      </c>
      <c r="CI114" s="492">
        <f>+CI113</f>
        <v>162775.90909090874</v>
      </c>
      <c r="CJ114" s="476">
        <f>+CJ113</f>
        <v>12362.727272727272</v>
      </c>
      <c r="CK114" s="476">
        <f t="shared" si="23"/>
        <v>150413.18181818147</v>
      </c>
      <c r="CL114" s="493">
        <f>+CI$29*CK114+CJ114</f>
        <v>29291.621050132602</v>
      </c>
      <c r="CM114" s="492">
        <f>+CM113</f>
        <v>8585526.767329555</v>
      </c>
      <c r="CN114" s="476">
        <f>+CN113</f>
        <v>483691.64886363636</v>
      </c>
      <c r="CO114" s="476">
        <f t="shared" si="33"/>
        <v>8101835.118465919</v>
      </c>
      <c r="CP114" s="493">
        <f>+CM$29*CO114+CN114</f>
        <v>1395547.2752432041</v>
      </c>
      <c r="CQ114" s="492">
        <f>+CQ113</f>
        <v>35814813.366647735</v>
      </c>
      <c r="CR114" s="476">
        <f>+CR113</f>
        <v>2017735.9643181816</v>
      </c>
      <c r="CS114" s="476">
        <f t="shared" si="38"/>
        <v>33797077.402329557</v>
      </c>
      <c r="CT114" s="493">
        <f>+CQ$29*CS114+CR114</f>
        <v>5821572.3463075673</v>
      </c>
      <c r="CU114" s="492">
        <f>+CU113</f>
        <v>12171516.705000022</v>
      </c>
      <c r="CV114" s="476">
        <f>+CV113</f>
        <v>676195.37250000006</v>
      </c>
      <c r="CW114" s="476">
        <f t="shared" si="39"/>
        <v>11495321.332500022</v>
      </c>
      <c r="CX114" s="493">
        <f>+CU$29*CW114+CV114</f>
        <v>1969985.3942433693</v>
      </c>
      <c r="CY114" s="492">
        <f>+CY113</f>
        <v>13573.89147727274</v>
      </c>
      <c r="CZ114" s="476">
        <f>+CZ113</f>
        <v>733.72386363636497</v>
      </c>
      <c r="DA114" s="476">
        <f t="shared" si="40"/>
        <v>12840.167613636375</v>
      </c>
      <c r="DB114" s="493">
        <f>+CY$29*DA114+CZ114</f>
        <v>2178.8753522744128</v>
      </c>
      <c r="DC114" s="492">
        <f>+DC113</f>
        <v>812684.7772727292</v>
      </c>
      <c r="DD114" s="476">
        <f>+DD113</f>
        <v>44530.672727272722</v>
      </c>
      <c r="DE114" s="476">
        <f t="shared" si="41"/>
        <v>768154.10454545647</v>
      </c>
      <c r="DF114" s="493">
        <f>+DC$29*DE114+DD114</f>
        <v>130985.85626462448</v>
      </c>
      <c r="DG114" s="492">
        <f>+DG113</f>
        <v>455830.27488636266</v>
      </c>
      <c r="DH114" s="476">
        <f>+DH113</f>
        <v>24639.474318181816</v>
      </c>
      <c r="DI114" s="476">
        <f t="shared" si="42"/>
        <v>431190.80056818086</v>
      </c>
      <c r="DJ114" s="493">
        <f>+DG$29*DI114+DH114</f>
        <v>73169.684053634322</v>
      </c>
      <c r="DK114" s="492">
        <f>+DK113</f>
        <v>9985468.3610227332</v>
      </c>
      <c r="DL114" s="476">
        <f>+DL113</f>
        <v>549658.80886363634</v>
      </c>
      <c r="DM114" s="476">
        <f t="shared" si="43"/>
        <v>9435809.552159097</v>
      </c>
      <c r="DN114" s="493">
        <f>+DK$29*DM114+DL114</f>
        <v>1611652.283647103</v>
      </c>
      <c r="DO114" s="492">
        <f>+DO113</f>
        <v>375526.82405303</v>
      </c>
      <c r="DP114" s="476">
        <f>+DP113</f>
        <v>19592.703863636354</v>
      </c>
      <c r="DQ114" s="476">
        <f t="shared" si="148"/>
        <v>355934.12018939364</v>
      </c>
      <c r="DR114" s="493">
        <f>+DO$29*DQ114+DP114</f>
        <v>59652.829177148698</v>
      </c>
      <c r="DS114" s="492">
        <f>+DS113</f>
        <v>161767.17818181781</v>
      </c>
      <c r="DT114" s="476">
        <f>+DT113</f>
        <v>8295.7527272726966</v>
      </c>
      <c r="DU114" s="476">
        <f t="shared" si="58"/>
        <v>153471.42545454513</v>
      </c>
      <c r="DV114" s="493">
        <f>+DS$29*DU114+DT114</f>
        <v>25568.849592729239</v>
      </c>
      <c r="DW114" s="492">
        <f>+DW113</f>
        <v>23518.945624999949</v>
      </c>
      <c r="DX114" s="476">
        <f>+DX113</f>
        <v>1221.7634090909089</v>
      </c>
      <c r="DY114" s="476">
        <f t="shared" si="59"/>
        <v>22297.182215909041</v>
      </c>
      <c r="DZ114" s="493">
        <f>+DW$29*DY114+DX114</f>
        <v>3731.2949854181397</v>
      </c>
      <c r="EA114" s="492">
        <f>+EA113</f>
        <v>-141812.6733522737</v>
      </c>
      <c r="EB114" s="476">
        <f>+EB113</f>
        <v>-7120.3015909091364</v>
      </c>
      <c r="EC114" s="476">
        <f t="shared" si="60"/>
        <v>-134692.37176136457</v>
      </c>
      <c r="ED114" s="493">
        <f>+EA$29*EC114+EB114</f>
        <v>-22279.829676228233</v>
      </c>
      <c r="EE114" s="576">
        <f>+EE113</f>
        <v>4122610.7122727367</v>
      </c>
      <c r="EF114" s="580">
        <f>+EF113</f>
        <v>192495.44181818186</v>
      </c>
      <c r="EG114" s="580">
        <f t="shared" si="69"/>
        <v>3930115.2704545548</v>
      </c>
      <c r="EH114" s="493">
        <f>+EE$29*EG114+EF114</f>
        <v>634827.04561942222</v>
      </c>
      <c r="EI114" s="576">
        <f>+EI113</f>
        <v>168033.73473484832</v>
      </c>
      <c r="EJ114" s="580">
        <f>+EJ113</f>
        <v>7696.2015909090906</v>
      </c>
      <c r="EK114" s="580">
        <f t="shared" si="70"/>
        <v>160337.53314393922</v>
      </c>
      <c r="EL114" s="493">
        <f>+EI$29*EK114+EJ114</f>
        <v>25742.073862968515</v>
      </c>
      <c r="EM114" s="576">
        <f>+EM113</f>
        <v>5748082.0949999969</v>
      </c>
      <c r="EN114" s="580">
        <f>+EN113</f>
        <v>261276.45886363636</v>
      </c>
      <c r="EO114" s="580">
        <f t="shared" si="71"/>
        <v>5486805.6361363605</v>
      </c>
      <c r="EP114" s="493">
        <f>+EM$29*EO114+EN114</f>
        <v>878812.42658022128</v>
      </c>
      <c r="EQ114" s="576">
        <f>+EQ113</f>
        <v>11263050.13295453</v>
      </c>
      <c r="ER114" s="580">
        <f>+ER113</f>
        <v>500580.00590909086</v>
      </c>
      <c r="ES114" s="580">
        <f t="shared" si="94"/>
        <v>10762470.12704544</v>
      </c>
      <c r="ET114" s="493">
        <f>+EQ$29*ES114+ER114</f>
        <v>1711888.159628547</v>
      </c>
      <c r="EU114" s="576">
        <f>+EU113</f>
        <v>14553352.69772727</v>
      </c>
      <c r="EV114" s="580">
        <f>+EV113</f>
        <v>646815.67545454553</v>
      </c>
      <c r="EW114" s="580">
        <f t="shared" si="95"/>
        <v>13906537.022272725</v>
      </c>
      <c r="EX114" s="493">
        <f>+EU$29*EW114+EV114</f>
        <v>2211986.2623395873</v>
      </c>
      <c r="EY114" s="582">
        <f t="shared" si="103"/>
        <v>25639583.310813129</v>
      </c>
      <c r="EZ114" s="579">
        <f>+EY114</f>
        <v>25639583.310813129</v>
      </c>
      <c r="FA114" s="553"/>
      <c r="FD114" s="492"/>
      <c r="FE114" s="476"/>
      <c r="FF114" s="476"/>
      <c r="FG114" s="493"/>
      <c r="FH114" s="492"/>
      <c r="FI114" s="476"/>
      <c r="FJ114" s="476"/>
      <c r="FK114" s="493"/>
      <c r="FL114" s="492"/>
      <c r="FM114" s="476"/>
      <c r="FN114" s="476"/>
      <c r="FO114" s="493"/>
      <c r="FP114" s="492"/>
      <c r="FQ114" s="476"/>
      <c r="FR114" s="476"/>
      <c r="FS114" s="493"/>
      <c r="FT114" s="492"/>
      <c r="FU114" s="476"/>
      <c r="FV114" s="476"/>
      <c r="FW114" s="493"/>
      <c r="FX114" s="492"/>
      <c r="FY114" s="476"/>
      <c r="FZ114" s="476"/>
      <c r="GA114" s="493"/>
      <c r="GB114" s="492"/>
      <c r="GC114" s="476"/>
      <c r="GD114" s="476"/>
      <c r="GE114" s="493"/>
      <c r="GF114" s="492"/>
      <c r="GG114" s="476"/>
      <c r="GH114" s="476"/>
      <c r="GI114" s="493"/>
      <c r="GJ114" s="492"/>
      <c r="GK114" s="476"/>
      <c r="GL114" s="476"/>
      <c r="GM114" s="493"/>
      <c r="GN114" s="492"/>
      <c r="GO114" s="476"/>
      <c r="GP114" s="476"/>
      <c r="GQ114" s="493"/>
      <c r="GR114" s="492"/>
      <c r="GS114" s="476"/>
      <c r="GT114" s="476"/>
      <c r="GU114" s="493"/>
      <c r="GV114" s="492"/>
      <c r="GW114" s="476"/>
      <c r="GX114" s="476"/>
      <c r="GY114" s="493"/>
      <c r="GZ114" s="492"/>
      <c r="HA114" s="476"/>
      <c r="HB114" s="476"/>
      <c r="HC114" s="493"/>
      <c r="HD114" s="576"/>
      <c r="HE114" s="580"/>
      <c r="HF114" s="580"/>
      <c r="HG114" s="918"/>
      <c r="HH114" s="919"/>
      <c r="HI114" s="925"/>
      <c r="HJ114" s="925"/>
      <c r="HK114" s="918"/>
      <c r="HL114" s="919"/>
      <c r="HM114" s="925"/>
      <c r="HN114" s="925"/>
      <c r="HO114" s="918"/>
      <c r="HP114" s="919"/>
      <c r="HQ114" s="925"/>
      <c r="HR114" s="925"/>
      <c r="HS114" s="918"/>
      <c r="HT114" s="919"/>
      <c r="HU114" s="925"/>
      <c r="HV114" s="925"/>
      <c r="HW114" s="918"/>
      <c r="HY114" s="492"/>
      <c r="HZ114" s="476"/>
      <c r="IA114" s="476"/>
      <c r="IB114" s="493"/>
      <c r="IC114" s="492"/>
      <c r="ID114" s="476"/>
      <c r="IE114" s="476"/>
      <c r="IF114" s="493"/>
      <c r="IG114" s="492"/>
      <c r="IH114" s="476"/>
      <c r="II114" s="476"/>
      <c r="IJ114" s="493"/>
    </row>
    <row r="115" spans="1:244">
      <c r="A115" s="554" t="s">
        <v>24</v>
      </c>
      <c r="B115" s="574">
        <v>2044</v>
      </c>
      <c r="C115" s="575">
        <f>+E114</f>
        <v>3900679.8607954457</v>
      </c>
      <c r="D115" s="575">
        <f>+C$31</f>
        <v>445791.98409090913</v>
      </c>
      <c r="E115" s="575">
        <f t="shared" si="150"/>
        <v>3454887.8767045364</v>
      </c>
      <c r="F115" s="558">
        <f>+C$28*E115+D115</f>
        <v>834637.09175092645</v>
      </c>
      <c r="G115" s="575">
        <f>+I114</f>
        <v>984646.37113636173</v>
      </c>
      <c r="H115" s="575">
        <f>+G$31</f>
        <v>115840.74954545456</v>
      </c>
      <c r="I115" s="575">
        <f t="shared" si="151"/>
        <v>868805.62159090722</v>
      </c>
      <c r="J115" s="558">
        <f>+G$28*I115+H115</f>
        <v>213624.18782750564</v>
      </c>
      <c r="K115" s="576">
        <f>+M114</f>
        <v>2367003.148806815</v>
      </c>
      <c r="L115" s="575">
        <f>+K$31</f>
        <v>305419.76113636367</v>
      </c>
      <c r="M115" s="575">
        <f t="shared" si="152"/>
        <v>2061583.3876704513</v>
      </c>
      <c r="N115" s="558">
        <f>+K$28*M115+L115</f>
        <v>537449.46598845441</v>
      </c>
      <c r="O115" s="576">
        <f>+Q114</f>
        <v>1173277.1287878752</v>
      </c>
      <c r="P115" s="575">
        <f>+O$31</f>
        <v>119316.31818181818</v>
      </c>
      <c r="Q115" s="575">
        <f t="shared" si="153"/>
        <v>1053960.8106060571</v>
      </c>
      <c r="R115" s="558">
        <f>+O$28*Q115+P115</f>
        <v>237938.83778163441</v>
      </c>
      <c r="S115" s="492">
        <f>+U114</f>
        <v>476244.92787878471</v>
      </c>
      <c r="T115" s="476">
        <f>+S$31</f>
        <v>58315.705454545445</v>
      </c>
      <c r="U115" s="476">
        <f t="shared" si="154"/>
        <v>417929.22242423927</v>
      </c>
      <c r="V115" s="493">
        <f>+S$28*U115+T115</f>
        <v>105353.33425390071</v>
      </c>
      <c r="W115" s="492">
        <f>+Y114</f>
        <v>6817387.2007575855</v>
      </c>
      <c r="X115" s="476">
        <f>+W$31</f>
        <v>693293.61363636365</v>
      </c>
      <c r="Y115" s="476">
        <f t="shared" si="155"/>
        <v>6124093.5871212222</v>
      </c>
      <c r="Z115" s="493">
        <f>+W$28*Y115+X115</f>
        <v>1382555.8748694581</v>
      </c>
      <c r="AA115" s="492">
        <f>+AC114</f>
        <v>4470763.5132575734</v>
      </c>
      <c r="AB115" s="476">
        <f>+AA$31</f>
        <v>450833.29545454547</v>
      </c>
      <c r="AC115" s="476">
        <f t="shared" si="156"/>
        <v>4019930.2178030279</v>
      </c>
      <c r="AD115" s="493">
        <f>+AA$28*AC115+AB115</f>
        <v>903273.50599427964</v>
      </c>
      <c r="AE115" s="492">
        <f>+AG114</f>
        <v>43679.920454545529</v>
      </c>
      <c r="AF115" s="476">
        <f>+AE$31</f>
        <v>4597.886363636364</v>
      </c>
      <c r="AG115" s="476">
        <f t="shared" si="157"/>
        <v>39082.034090909161</v>
      </c>
      <c r="AH115" s="493">
        <f>+AE$28*AG115+AF115</f>
        <v>8996.5407616909979</v>
      </c>
      <c r="AI115" s="492">
        <f>+AK114</f>
        <v>3201763.8446969744</v>
      </c>
      <c r="AJ115" s="476">
        <f>+AI$31</f>
        <v>295547.43181818182</v>
      </c>
      <c r="AK115" s="476">
        <f t="shared" si="161"/>
        <v>2906216.4128787927</v>
      </c>
      <c r="AL115" s="493">
        <f>+AI$28*AK115+AJ115</f>
        <v>622639.96688102302</v>
      </c>
      <c r="AM115" s="492">
        <f>+AO114</f>
        <v>1164102.6146590912</v>
      </c>
      <c r="AN115" s="476">
        <f>+AM$31</f>
        <v>110866.91568181818</v>
      </c>
      <c r="AO115" s="476">
        <f t="shared" si="158"/>
        <v>1053235.698977273</v>
      </c>
      <c r="AP115" s="493">
        <f>+AM$28*AO115+AN115</f>
        <v>229407.82449731312</v>
      </c>
      <c r="AQ115" s="492">
        <f>+AS114</f>
        <v>9728021.5506818183</v>
      </c>
      <c r="AR115" s="476">
        <f>+AQ$31</f>
        <v>904932.23727272719</v>
      </c>
      <c r="AS115" s="476">
        <f t="shared" si="159"/>
        <v>8823089.3134090919</v>
      </c>
      <c r="AT115" s="493">
        <f>+AQ$28*AS115+AR115</f>
        <v>1897964.4966116347</v>
      </c>
      <c r="AU115" s="575"/>
      <c r="AV115" s="575"/>
      <c r="AW115" s="575"/>
      <c r="AX115" s="558"/>
      <c r="AY115" s="575"/>
      <c r="AZ115" s="575"/>
      <c r="BA115" s="575"/>
      <c r="BB115" s="558"/>
      <c r="BC115" s="575"/>
      <c r="BD115" s="575"/>
      <c r="BE115" s="575"/>
      <c r="BF115" s="558"/>
      <c r="BG115" s="575"/>
      <c r="BH115" s="575"/>
      <c r="BI115" s="575"/>
      <c r="BJ115" s="558"/>
      <c r="BK115" s="575"/>
      <c r="BL115" s="575"/>
      <c r="BM115" s="575"/>
      <c r="BN115" s="558"/>
      <c r="BO115" s="575"/>
      <c r="BP115" s="575"/>
      <c r="BQ115" s="575"/>
      <c r="BR115" s="558"/>
      <c r="BS115" s="492">
        <f>+BU114</f>
        <v>91419.750000000276</v>
      </c>
      <c r="BT115" s="476">
        <f>+BS$31</f>
        <v>8310.886363636364</v>
      </c>
      <c r="BU115" s="476">
        <f t="shared" si="160"/>
        <v>83108.863636363909</v>
      </c>
      <c r="BV115" s="493">
        <f>+BS$28*BU115+BT115</f>
        <v>17664.728277316317</v>
      </c>
      <c r="BW115" s="492">
        <f>+BY114</f>
        <v>6633674.1136363819</v>
      </c>
      <c r="BX115" s="476">
        <f>+BW$31</f>
        <v>576841.22727272729</v>
      </c>
      <c r="BY115" s="476">
        <f t="shared" si="162"/>
        <v>6056832.8863636544</v>
      </c>
      <c r="BZ115" s="493">
        <f>+BW$28*BY115+BX115</f>
        <v>1258533.3457513452</v>
      </c>
      <c r="CA115" s="492">
        <f>+CC114</f>
        <v>630526.24000000162</v>
      </c>
      <c r="CB115" s="476">
        <f>+CA$31</f>
        <v>54433.919999999998</v>
      </c>
      <c r="CC115" s="476">
        <f t="shared" si="163"/>
        <v>576092.32000000158</v>
      </c>
      <c r="CD115" s="493">
        <f>+CA$28*CC115+CB115</f>
        <v>119272.68993605464</v>
      </c>
      <c r="CE115" s="492">
        <f>+CG114</f>
        <v>53156.577272727482</v>
      </c>
      <c r="CF115" s="476">
        <f>+CE$31</f>
        <v>4725.0290909090909</v>
      </c>
      <c r="CG115" s="476">
        <f t="shared" si="164"/>
        <v>48431.548181818391</v>
      </c>
      <c r="CH115" s="493">
        <f>+CE$28*CG115+CF115</f>
        <v>10175.96447259906</v>
      </c>
      <c r="CI115" s="492">
        <f>+CK114</f>
        <v>150413.18181818147</v>
      </c>
      <c r="CJ115" s="476">
        <f>+CI$31</f>
        <v>12362.727272727272</v>
      </c>
      <c r="CK115" s="476">
        <f t="shared" si="23"/>
        <v>138050.45454545421</v>
      </c>
      <c r="CL115" s="493">
        <f>+CI$28*CK115+CJ115</f>
        <v>27900.205123222571</v>
      </c>
      <c r="CM115" s="492">
        <f>+CO114</f>
        <v>8101835.118465919</v>
      </c>
      <c r="CN115" s="476">
        <f>+CM$31</f>
        <v>483691.64886363636</v>
      </c>
      <c r="CO115" s="476">
        <f t="shared" si="33"/>
        <v>7618143.4696022831</v>
      </c>
      <c r="CP115" s="493">
        <f>+CM$28*CO115+CN115</f>
        <v>1341108.1333697971</v>
      </c>
      <c r="CQ115" s="492">
        <f>+CS114</f>
        <v>33797077.402329557</v>
      </c>
      <c r="CR115" s="476">
        <f>+CQ$31</f>
        <v>2017735.9643181816</v>
      </c>
      <c r="CS115" s="476">
        <f t="shared" si="38"/>
        <v>31779341.438011374</v>
      </c>
      <c r="CT115" s="493">
        <f>+CQ$28*CS115+CR115</f>
        <v>5594477.6369350674</v>
      </c>
      <c r="CU115" s="492">
        <f>+CW114</f>
        <v>11495321.332500022</v>
      </c>
      <c r="CV115" s="476">
        <f>+CU$31</f>
        <v>676195.37250000006</v>
      </c>
      <c r="CW115" s="476">
        <f t="shared" si="39"/>
        <v>10819125.960000021</v>
      </c>
      <c r="CX115" s="493">
        <f>+CU$28*CW115+CV115</f>
        <v>1893880.0988467007</v>
      </c>
      <c r="CY115" s="492">
        <f>+DA114</f>
        <v>12840.167613636375</v>
      </c>
      <c r="CZ115" s="476">
        <f>+CY$31</f>
        <v>733.72386363636497</v>
      </c>
      <c r="DA115" s="476">
        <f t="shared" si="40"/>
        <v>12106.443750000009</v>
      </c>
      <c r="DB115" s="493">
        <f>+CY$28*DA115+CZ115</f>
        <v>2096.2952672093811</v>
      </c>
      <c r="DC115" s="492">
        <f>+DE114</f>
        <v>768154.10454545647</v>
      </c>
      <c r="DD115" s="476">
        <f>+DC$31</f>
        <v>44530.672727272722</v>
      </c>
      <c r="DE115" s="476">
        <f t="shared" si="41"/>
        <v>723623.43181818374</v>
      </c>
      <c r="DF115" s="493">
        <f>+DC$28*DE115+DD115</f>
        <v>125973.961566807</v>
      </c>
      <c r="DG115" s="492">
        <f>+DI114</f>
        <v>431190.80056818086</v>
      </c>
      <c r="DH115" s="476">
        <f>+DG$31</f>
        <v>24639.474318181816</v>
      </c>
      <c r="DI115" s="476">
        <f t="shared" si="42"/>
        <v>406551.32624999905</v>
      </c>
      <c r="DJ115" s="493">
        <f>+DG$28*DI115+DH115</f>
        <v>70396.52921160846</v>
      </c>
      <c r="DK115" s="492">
        <f>+DM114</f>
        <v>9435809.552159097</v>
      </c>
      <c r="DL115" s="476">
        <f>+DK$31</f>
        <v>549658.80886363634</v>
      </c>
      <c r="DM115" s="476">
        <f t="shared" si="43"/>
        <v>8886150.7432954609</v>
      </c>
      <c r="DN115" s="493">
        <f>+DK$28*DM115+DL115</f>
        <v>1549788.5860869014</v>
      </c>
      <c r="DO115" s="492">
        <f>+DQ114</f>
        <v>355934.12018939364</v>
      </c>
      <c r="DP115" s="476">
        <f>+DO$31</f>
        <v>19592.703863636354</v>
      </c>
      <c r="DQ115" s="476">
        <f t="shared" si="148"/>
        <v>336341.41632575728</v>
      </c>
      <c r="DR115" s="493">
        <f>+DO$28*DQ115+DP115</f>
        <v>57447.684664478293</v>
      </c>
      <c r="DS115" s="492">
        <f>+DU114</f>
        <v>153471.42545454513</v>
      </c>
      <c r="DT115" s="476">
        <f>+DS$31</f>
        <v>8295.7527272726966</v>
      </c>
      <c r="DU115" s="476">
        <f t="shared" si="58"/>
        <v>145175.67272727244</v>
      </c>
      <c r="DV115" s="493">
        <f>+DS$28*DU115+DT115</f>
        <v>24635.168681082941</v>
      </c>
      <c r="DW115" s="492">
        <f>+DY114</f>
        <v>22297.182215909041</v>
      </c>
      <c r="DX115" s="476">
        <f>+DW$31</f>
        <v>1221.7634090909089</v>
      </c>
      <c r="DY115" s="476">
        <f t="shared" si="59"/>
        <v>21075.418806818132</v>
      </c>
      <c r="DZ115" s="493">
        <f>+DW$28*DY115+DX115</f>
        <v>3593.7864058933601</v>
      </c>
      <c r="EA115" s="492">
        <f>+EC114</f>
        <v>-134692.37176136457</v>
      </c>
      <c r="EB115" s="476">
        <f>+EA$31</f>
        <v>-7120.3015909091364</v>
      </c>
      <c r="EC115" s="476">
        <f t="shared" si="60"/>
        <v>-127572.07017045544</v>
      </c>
      <c r="ED115" s="493">
        <f>+EA$28*EC115+EB115</f>
        <v>-21478.444931629871</v>
      </c>
      <c r="EE115" s="576">
        <f>+EG114</f>
        <v>3930115.2704545548</v>
      </c>
      <c r="EF115" s="580">
        <f>+EE$31</f>
        <v>192495.44181818186</v>
      </c>
      <c r="EG115" s="580">
        <f t="shared" si="69"/>
        <v>3737619.8286363729</v>
      </c>
      <c r="EH115" s="493">
        <f>+EE$28*EG115+EF115</f>
        <v>613161.82420874923</v>
      </c>
      <c r="EI115" s="576">
        <f>+EK114</f>
        <v>160337.53314393922</v>
      </c>
      <c r="EJ115" s="580">
        <f>+EI$31</f>
        <v>7696.2015909090906</v>
      </c>
      <c r="EK115" s="580">
        <f t="shared" si="70"/>
        <v>152641.33155303012</v>
      </c>
      <c r="EL115" s="493">
        <f>+EI$28*EK115+EJ115</f>
        <v>24875.871993909659</v>
      </c>
      <c r="EM115" s="576">
        <f>+EO114</f>
        <v>5486805.6361363605</v>
      </c>
      <c r="EN115" s="580">
        <f>+EM$31</f>
        <v>261276.45886363636</v>
      </c>
      <c r="EO115" s="580">
        <f t="shared" si="71"/>
        <v>5225529.177272724</v>
      </c>
      <c r="EP115" s="493">
        <f>+EM$28*EO115+EN115</f>
        <v>849405.95192705048</v>
      </c>
      <c r="EQ115" s="576">
        <f>+ES114</f>
        <v>10762470.12704544</v>
      </c>
      <c r="ER115" s="580">
        <f>+EQ$31</f>
        <v>500580.00590909086</v>
      </c>
      <c r="ES115" s="580">
        <f t="shared" si="94"/>
        <v>10261890.121136349</v>
      </c>
      <c r="ET115" s="493">
        <f>+EQ$28*ES115+ER115</f>
        <v>1655548.2455020607</v>
      </c>
      <c r="EU115" s="576">
        <f>+EW114</f>
        <v>13906537.022272725</v>
      </c>
      <c r="EV115" s="580">
        <f>+EU$31</f>
        <v>646815.67545454553</v>
      </c>
      <c r="EW115" s="580">
        <f t="shared" si="95"/>
        <v>13259721.346818179</v>
      </c>
      <c r="EX115" s="493">
        <f>+EU$28*EW115+EV115</f>
        <v>2139187.6303914459</v>
      </c>
      <c r="EY115" s="582">
        <f t="shared" si="103"/>
        <v>24331487.020905491</v>
      </c>
      <c r="EZ115" s="557"/>
      <c r="FA115" s="578">
        <f>+EY115</f>
        <v>24331487.020905491</v>
      </c>
      <c r="FD115" s="492"/>
      <c r="FE115" s="476"/>
      <c r="FF115" s="476"/>
      <c r="FG115" s="493"/>
      <c r="FH115" s="492"/>
      <c r="FI115" s="476"/>
      <c r="FJ115" s="476"/>
      <c r="FK115" s="493"/>
      <c r="FL115" s="492"/>
      <c r="FM115" s="476"/>
      <c r="FN115" s="476"/>
      <c r="FO115" s="493"/>
      <c r="FP115" s="492"/>
      <c r="FQ115" s="476"/>
      <c r="FR115" s="476"/>
      <c r="FS115" s="493"/>
      <c r="FT115" s="492"/>
      <c r="FU115" s="476"/>
      <c r="FV115" s="476"/>
      <c r="FW115" s="493"/>
      <c r="FX115" s="492"/>
      <c r="FY115" s="476"/>
      <c r="FZ115" s="476"/>
      <c r="GA115" s="493"/>
      <c r="GB115" s="492"/>
      <c r="GC115" s="476"/>
      <c r="GD115" s="476"/>
      <c r="GE115" s="493"/>
      <c r="GF115" s="492"/>
      <c r="GG115" s="476"/>
      <c r="GH115" s="476"/>
      <c r="GI115" s="493"/>
      <c r="GJ115" s="492"/>
      <c r="GK115" s="476"/>
      <c r="GL115" s="476"/>
      <c r="GM115" s="493"/>
      <c r="GN115" s="492"/>
      <c r="GO115" s="476"/>
      <c r="GP115" s="476"/>
      <c r="GQ115" s="493"/>
      <c r="GR115" s="492"/>
      <c r="GS115" s="476"/>
      <c r="GT115" s="476"/>
      <c r="GU115" s="493"/>
      <c r="GV115" s="492"/>
      <c r="GW115" s="476"/>
      <c r="GX115" s="476"/>
      <c r="GY115" s="493"/>
      <c r="GZ115" s="492"/>
      <c r="HA115" s="476"/>
      <c r="HB115" s="476"/>
      <c r="HC115" s="493"/>
      <c r="HD115" s="576"/>
      <c r="HE115" s="580"/>
      <c r="HF115" s="580"/>
      <c r="HG115" s="918"/>
      <c r="HH115" s="919"/>
      <c r="HI115" s="925"/>
      <c r="HJ115" s="925"/>
      <c r="HK115" s="918"/>
      <c r="HL115" s="919"/>
      <c r="HM115" s="925"/>
      <c r="HN115" s="925"/>
      <c r="HO115" s="918"/>
      <c r="HP115" s="919"/>
      <c r="HQ115" s="925"/>
      <c r="HR115" s="925"/>
      <c r="HS115" s="918"/>
      <c r="HT115" s="919"/>
      <c r="HU115" s="925"/>
      <c r="HV115" s="925"/>
      <c r="HW115" s="918"/>
      <c r="HY115" s="492"/>
      <c r="HZ115" s="476"/>
      <c r="IA115" s="476"/>
      <c r="IB115" s="493"/>
      <c r="IC115" s="492"/>
      <c r="ID115" s="476"/>
      <c r="IE115" s="476"/>
      <c r="IF115" s="493"/>
      <c r="IG115" s="492"/>
      <c r="IH115" s="476"/>
      <c r="II115" s="476"/>
      <c r="IJ115" s="493"/>
    </row>
    <row r="116" spans="1:244">
      <c r="A116" s="554" t="s">
        <v>23</v>
      </c>
      <c r="B116" s="574">
        <v>2044</v>
      </c>
      <c r="C116" s="575">
        <f>+C115</f>
        <v>3900679.8607954457</v>
      </c>
      <c r="D116" s="575">
        <f>+D115</f>
        <v>445791.98409090913</v>
      </c>
      <c r="E116" s="575">
        <f t="shared" si="150"/>
        <v>3454887.8767045364</v>
      </c>
      <c r="F116" s="558">
        <f>+C$29*E116+D116</f>
        <v>857156.96919526346</v>
      </c>
      <c r="G116" s="575">
        <f>+G115</f>
        <v>984646.37113636173</v>
      </c>
      <c r="H116" s="575">
        <f>+H115</f>
        <v>115840.74954545456</v>
      </c>
      <c r="I116" s="575">
        <f t="shared" si="151"/>
        <v>868805.62159090722</v>
      </c>
      <c r="J116" s="558">
        <f>+G$29*I116+H116</f>
        <v>219287.29378619767</v>
      </c>
      <c r="K116" s="576">
        <f>+K115</f>
        <v>2367003.148806815</v>
      </c>
      <c r="L116" s="575">
        <f>+L115</f>
        <v>305419.76113636367</v>
      </c>
      <c r="M116" s="575">
        <f t="shared" si="152"/>
        <v>2061583.3876704513</v>
      </c>
      <c r="N116" s="558">
        <f>+K$29*M116+L116</f>
        <v>550887.41445117095</v>
      </c>
      <c r="O116" s="576">
        <f>+O115</f>
        <v>1173277.1287878752</v>
      </c>
      <c r="P116" s="575">
        <f>+P115</f>
        <v>119316.31818181818</v>
      </c>
      <c r="Q116" s="575">
        <f t="shared" si="153"/>
        <v>1053960.8106060571</v>
      </c>
      <c r="R116" s="558">
        <f>+O$29*Q116+P116</f>
        <v>244808.83447415294</v>
      </c>
      <c r="S116" s="492">
        <f>+S115</f>
        <v>476244.92787878471</v>
      </c>
      <c r="T116" s="476">
        <f>+T115</f>
        <v>58315.705454545445</v>
      </c>
      <c r="U116" s="476">
        <f t="shared" si="154"/>
        <v>417929.22242423927</v>
      </c>
      <c r="V116" s="493">
        <f>+S$29*U116+T116</f>
        <v>108077.50800577897</v>
      </c>
      <c r="W116" s="492">
        <f>+W115</f>
        <v>6817387.2007575855</v>
      </c>
      <c r="X116" s="476">
        <f>+X115</f>
        <v>693293.61363636365</v>
      </c>
      <c r="Y116" s="476">
        <f t="shared" si="155"/>
        <v>6124093.5871212222</v>
      </c>
      <c r="Z116" s="493">
        <f>+W$29*Y116+X116</f>
        <v>1422474.3445742321</v>
      </c>
      <c r="AA116" s="492">
        <f>+AA115</f>
        <v>4470763.5132575734</v>
      </c>
      <c r="AB116" s="476">
        <f>+AB115</f>
        <v>450833.29545454547</v>
      </c>
      <c r="AC116" s="476">
        <f t="shared" si="156"/>
        <v>4019930.2178030279</v>
      </c>
      <c r="AD116" s="493">
        <f>+AA$29*AC116+AB116</f>
        <v>929476.47959875502</v>
      </c>
      <c r="AE116" s="492">
        <f>+AE115</f>
        <v>43679.920454545529</v>
      </c>
      <c r="AF116" s="476">
        <f>+AF115</f>
        <v>4597.886363636364</v>
      </c>
      <c r="AG116" s="476">
        <f t="shared" si="157"/>
        <v>39082.034090909161</v>
      </c>
      <c r="AH116" s="493">
        <f>+AE$29*AG116+AF116</f>
        <v>9251.2878473886631</v>
      </c>
      <c r="AI116" s="492">
        <f>+AI115</f>
        <v>3201763.8446969744</v>
      </c>
      <c r="AJ116" s="476">
        <f>+AJ115</f>
        <v>295547.43181818182</v>
      </c>
      <c r="AK116" s="476">
        <f t="shared" si="161"/>
        <v>2906216.4128787927</v>
      </c>
      <c r="AL116" s="493">
        <f>+AI$29*AK116+AJ116</f>
        <v>641583.45789445029</v>
      </c>
      <c r="AM116" s="492">
        <f>+AM115</f>
        <v>1164102.6146590912</v>
      </c>
      <c r="AN116" s="476">
        <f>+AN115</f>
        <v>110866.91568181818</v>
      </c>
      <c r="AO116" s="476">
        <f t="shared" si="158"/>
        <v>1053235.698977273</v>
      </c>
      <c r="AP116" s="493">
        <f>+AM$29*AO116+AN116</f>
        <v>236273.09471951006</v>
      </c>
      <c r="AQ116" s="492">
        <f>+AQ115</f>
        <v>9728021.5506818183</v>
      </c>
      <c r="AR116" s="476">
        <f>+AR115</f>
        <v>904932.23727272719</v>
      </c>
      <c r="AS116" s="476">
        <f t="shared" si="159"/>
        <v>8823089.3134090919</v>
      </c>
      <c r="AT116" s="493">
        <f>+AQ$29*AS116+AR116</f>
        <v>1955475.7378180902</v>
      </c>
      <c r="AU116" s="575"/>
      <c r="AV116" s="575"/>
      <c r="AW116" s="575"/>
      <c r="AX116" s="558"/>
      <c r="AY116" s="575"/>
      <c r="AZ116" s="575"/>
      <c r="BA116" s="575"/>
      <c r="BB116" s="558"/>
      <c r="BC116" s="575"/>
      <c r="BD116" s="575"/>
      <c r="BE116" s="575"/>
      <c r="BF116" s="558"/>
      <c r="BG116" s="575"/>
      <c r="BH116" s="575"/>
      <c r="BI116" s="575"/>
      <c r="BJ116" s="558"/>
      <c r="BK116" s="575"/>
      <c r="BL116" s="575"/>
      <c r="BM116" s="575"/>
      <c r="BN116" s="558"/>
      <c r="BO116" s="575"/>
      <c r="BP116" s="575"/>
      <c r="BQ116" s="575"/>
      <c r="BR116" s="558"/>
      <c r="BS116" s="492">
        <f>+BS115</f>
        <v>91419.750000000276</v>
      </c>
      <c r="BT116" s="476">
        <f>+BT115</f>
        <v>8310.886363636364</v>
      </c>
      <c r="BU116" s="476">
        <f t="shared" si="160"/>
        <v>83108.863636363909</v>
      </c>
      <c r="BV116" s="493">
        <f>+BS$29*BU116+BT116</f>
        <v>18206.453939746287</v>
      </c>
      <c r="BW116" s="492">
        <f>+BW115</f>
        <v>6633674.1136363819</v>
      </c>
      <c r="BX116" s="476">
        <f>+BX115</f>
        <v>576841.22727272729</v>
      </c>
      <c r="BY116" s="476">
        <f t="shared" si="162"/>
        <v>6056832.8863636544</v>
      </c>
      <c r="BZ116" s="493">
        <f>+BW$29*BY116+BX116</f>
        <v>1258533.3457513452</v>
      </c>
      <c r="CA116" s="492">
        <f>+CA115</f>
        <v>630526.24000000162</v>
      </c>
      <c r="CB116" s="476">
        <f>+CB115</f>
        <v>54433.919999999998</v>
      </c>
      <c r="CC116" s="476">
        <f t="shared" si="163"/>
        <v>576092.32000000158</v>
      </c>
      <c r="CD116" s="493">
        <f>+CA$29*CC116+CB116</f>
        <v>123027.81279561289</v>
      </c>
      <c r="CE116" s="492">
        <f>+CE115</f>
        <v>53156.577272727482</v>
      </c>
      <c r="CF116" s="476">
        <f>+CF115</f>
        <v>4725.0290909090909</v>
      </c>
      <c r="CG116" s="476">
        <f t="shared" si="164"/>
        <v>48431.548181818391</v>
      </c>
      <c r="CH116" s="493">
        <f>+CE$29*CG116+CF116</f>
        <v>10491.654176119744</v>
      </c>
      <c r="CI116" s="492">
        <f>+CI115</f>
        <v>150413.18181818147</v>
      </c>
      <c r="CJ116" s="476">
        <f>+CJ115</f>
        <v>12362.727272727272</v>
      </c>
      <c r="CK116" s="476">
        <f t="shared" ref="CK116:CK132" si="165">+CI116-CJ116</f>
        <v>138050.45454545421</v>
      </c>
      <c r="CL116" s="493">
        <f>+CI$29*CK116+CJ116</f>
        <v>27900.205123222571</v>
      </c>
      <c r="CM116" s="492">
        <f>+CM115</f>
        <v>8101835.118465919</v>
      </c>
      <c r="CN116" s="476">
        <f>+CN115</f>
        <v>483691.64886363636</v>
      </c>
      <c r="CO116" s="476">
        <f t="shared" ref="CO116:CO132" si="166">+CM116-CN116</f>
        <v>7618143.4696022831</v>
      </c>
      <c r="CP116" s="493">
        <f>+CM$29*CO116+CN116</f>
        <v>1341108.1333697971</v>
      </c>
      <c r="CQ116" s="492">
        <f>+CQ115</f>
        <v>33797077.402329557</v>
      </c>
      <c r="CR116" s="476">
        <f>+CR115</f>
        <v>2017735.9643181816</v>
      </c>
      <c r="CS116" s="476">
        <f t="shared" ref="CS116:CS132" si="167">+CQ116-CR116</f>
        <v>31779341.438011374</v>
      </c>
      <c r="CT116" s="493">
        <f>+CQ$29*CS116+CR116</f>
        <v>5594477.6369350674</v>
      </c>
      <c r="CU116" s="492">
        <f>+CU115</f>
        <v>11495321.332500022</v>
      </c>
      <c r="CV116" s="476">
        <f>+CV115</f>
        <v>676195.37250000006</v>
      </c>
      <c r="CW116" s="476">
        <f t="shared" ref="CW116:CW132" si="168">+CU116-CV116</f>
        <v>10819125.960000021</v>
      </c>
      <c r="CX116" s="493">
        <f>+CU$29*CW116+CV116</f>
        <v>1893880.0988467007</v>
      </c>
      <c r="CY116" s="492">
        <f>+CY115</f>
        <v>12840.167613636375</v>
      </c>
      <c r="CZ116" s="476">
        <f>+CZ115</f>
        <v>733.72386363636497</v>
      </c>
      <c r="DA116" s="476">
        <f t="shared" si="40"/>
        <v>12106.443750000009</v>
      </c>
      <c r="DB116" s="493">
        <f>+CY$29*DA116+CZ116</f>
        <v>2096.2952672093811</v>
      </c>
      <c r="DC116" s="492">
        <f>+DC115</f>
        <v>768154.10454545647</v>
      </c>
      <c r="DD116" s="476">
        <f>+DD115</f>
        <v>44530.672727272722</v>
      </c>
      <c r="DE116" s="476">
        <f t="shared" si="41"/>
        <v>723623.43181818374</v>
      </c>
      <c r="DF116" s="493">
        <f>+DC$29*DE116+DD116</f>
        <v>125973.961566807</v>
      </c>
      <c r="DG116" s="492">
        <f>+DG115</f>
        <v>431190.80056818086</v>
      </c>
      <c r="DH116" s="476">
        <f>+DH115</f>
        <v>24639.474318181816</v>
      </c>
      <c r="DI116" s="476">
        <f t="shared" si="42"/>
        <v>406551.32624999905</v>
      </c>
      <c r="DJ116" s="493">
        <f>+DG$29*DI116+DH116</f>
        <v>70396.52921160846</v>
      </c>
      <c r="DK116" s="492">
        <f>+DK115</f>
        <v>9435809.552159097</v>
      </c>
      <c r="DL116" s="476">
        <f>+DL115</f>
        <v>549658.80886363634</v>
      </c>
      <c r="DM116" s="476">
        <f t="shared" si="43"/>
        <v>8886150.7432954609</v>
      </c>
      <c r="DN116" s="493">
        <f>+DK$29*DM116+DL116</f>
        <v>1549788.5860869014</v>
      </c>
      <c r="DO116" s="492">
        <f>+DO115</f>
        <v>355934.12018939364</v>
      </c>
      <c r="DP116" s="476">
        <f>+DP115</f>
        <v>19592.703863636354</v>
      </c>
      <c r="DQ116" s="476">
        <f t="shared" si="148"/>
        <v>336341.41632575728</v>
      </c>
      <c r="DR116" s="493">
        <f>+DO$29*DQ116+DP116</f>
        <v>57447.684664478293</v>
      </c>
      <c r="DS116" s="492">
        <f>+DS115</f>
        <v>153471.42545454513</v>
      </c>
      <c r="DT116" s="476">
        <f>+DT115</f>
        <v>8295.7527272726966</v>
      </c>
      <c r="DU116" s="476">
        <f t="shared" si="58"/>
        <v>145175.67272727244</v>
      </c>
      <c r="DV116" s="493">
        <f>+DS$29*DU116+DT116</f>
        <v>24635.168681082941</v>
      </c>
      <c r="DW116" s="492">
        <f>+DW115</f>
        <v>22297.182215909041</v>
      </c>
      <c r="DX116" s="476">
        <f>+DX115</f>
        <v>1221.7634090909089</v>
      </c>
      <c r="DY116" s="476">
        <f t="shared" si="59"/>
        <v>21075.418806818132</v>
      </c>
      <c r="DZ116" s="493">
        <f>+DW$29*DY116+DX116</f>
        <v>3593.7864058933601</v>
      </c>
      <c r="EA116" s="492">
        <f>+EA115</f>
        <v>-134692.37176136457</v>
      </c>
      <c r="EB116" s="476">
        <f>+EB115</f>
        <v>-7120.3015909091364</v>
      </c>
      <c r="EC116" s="476">
        <f t="shared" si="60"/>
        <v>-127572.07017045544</v>
      </c>
      <c r="ED116" s="493">
        <f>+EA$29*EC116+EB116</f>
        <v>-21478.444931629871</v>
      </c>
      <c r="EE116" s="576">
        <f>+EE115</f>
        <v>3930115.2704545548</v>
      </c>
      <c r="EF116" s="580">
        <f>+EF115</f>
        <v>192495.44181818186</v>
      </c>
      <c r="EG116" s="580">
        <f t="shared" si="69"/>
        <v>3737619.8286363729</v>
      </c>
      <c r="EH116" s="493">
        <f>+EE$29*EG116+EF116</f>
        <v>613161.82420874923</v>
      </c>
      <c r="EI116" s="576">
        <f>+EI115</f>
        <v>160337.53314393922</v>
      </c>
      <c r="EJ116" s="580">
        <f>+EJ115</f>
        <v>7696.2015909090906</v>
      </c>
      <c r="EK116" s="580">
        <f t="shared" si="70"/>
        <v>152641.33155303012</v>
      </c>
      <c r="EL116" s="493">
        <f>+EI$29*EK116+EJ116</f>
        <v>24875.871993909659</v>
      </c>
      <c r="EM116" s="576">
        <f>+EM115</f>
        <v>5486805.6361363605</v>
      </c>
      <c r="EN116" s="580">
        <f>+EN115</f>
        <v>261276.45886363636</v>
      </c>
      <c r="EO116" s="580">
        <f t="shared" si="71"/>
        <v>5225529.177272724</v>
      </c>
      <c r="EP116" s="493">
        <f>+EM$29*EO116+EN116</f>
        <v>849405.95192705048</v>
      </c>
      <c r="EQ116" s="576">
        <f>+EQ115</f>
        <v>10762470.12704544</v>
      </c>
      <c r="ER116" s="580">
        <f>+ER115</f>
        <v>500580.00590909086</v>
      </c>
      <c r="ES116" s="580">
        <f t="shared" si="94"/>
        <v>10261890.121136349</v>
      </c>
      <c r="ET116" s="493">
        <f>+EQ$29*ES116+ER116</f>
        <v>1655548.2455020607</v>
      </c>
      <c r="EU116" s="576">
        <f>+EU115</f>
        <v>13906537.022272725</v>
      </c>
      <c r="EV116" s="580">
        <f>+EV115</f>
        <v>646815.67545454553</v>
      </c>
      <c r="EW116" s="580">
        <f t="shared" si="95"/>
        <v>13259721.346818179</v>
      </c>
      <c r="EX116" s="493">
        <f>+EU$29*EW116+EV116</f>
        <v>2139187.6303914459</v>
      </c>
      <c r="EY116" s="582">
        <f t="shared" si="103"/>
        <v>24537010.854278166</v>
      </c>
      <c r="EZ116" s="579">
        <f>+EY116</f>
        <v>24537010.854278166</v>
      </c>
      <c r="FA116" s="553"/>
      <c r="FD116" s="492"/>
      <c r="FE116" s="476"/>
      <c r="FF116" s="476"/>
      <c r="FG116" s="493"/>
      <c r="FH116" s="492"/>
      <c r="FI116" s="476"/>
      <c r="FJ116" s="476"/>
      <c r="FK116" s="493"/>
      <c r="FL116" s="492"/>
      <c r="FM116" s="476"/>
      <c r="FN116" s="476"/>
      <c r="FO116" s="493"/>
      <c r="FP116" s="492"/>
      <c r="FQ116" s="476"/>
      <c r="FR116" s="476"/>
      <c r="FS116" s="493"/>
      <c r="FT116" s="492"/>
      <c r="FU116" s="476"/>
      <c r="FV116" s="476"/>
      <c r="FW116" s="493"/>
      <c r="FX116" s="492"/>
      <c r="FY116" s="476"/>
      <c r="FZ116" s="476"/>
      <c r="GA116" s="493"/>
      <c r="GB116" s="492"/>
      <c r="GC116" s="476"/>
      <c r="GD116" s="476"/>
      <c r="GE116" s="493"/>
      <c r="GF116" s="492"/>
      <c r="GG116" s="476"/>
      <c r="GH116" s="476"/>
      <c r="GI116" s="493"/>
      <c r="GJ116" s="492"/>
      <c r="GK116" s="476"/>
      <c r="GL116" s="476"/>
      <c r="GM116" s="493"/>
      <c r="GN116" s="492"/>
      <c r="GO116" s="476"/>
      <c r="GP116" s="476"/>
      <c r="GQ116" s="493"/>
      <c r="GR116" s="492"/>
      <c r="GS116" s="476"/>
      <c r="GT116" s="476"/>
      <c r="GU116" s="493"/>
      <c r="GV116" s="492"/>
      <c r="GW116" s="476"/>
      <c r="GX116" s="476"/>
      <c r="GY116" s="493"/>
      <c r="GZ116" s="492"/>
      <c r="HA116" s="476"/>
      <c r="HB116" s="476"/>
      <c r="HC116" s="493"/>
      <c r="HD116" s="576"/>
      <c r="HE116" s="580"/>
      <c r="HF116" s="580"/>
      <c r="HG116" s="918"/>
      <c r="HH116" s="919"/>
      <c r="HI116" s="925"/>
      <c r="HJ116" s="925"/>
      <c r="HK116" s="918"/>
      <c r="HL116" s="919"/>
      <c r="HM116" s="925"/>
      <c r="HN116" s="925"/>
      <c r="HO116" s="918"/>
      <c r="HP116" s="919"/>
      <c r="HQ116" s="925"/>
      <c r="HR116" s="925"/>
      <c r="HS116" s="918"/>
      <c r="HT116" s="919"/>
      <c r="HU116" s="925"/>
      <c r="HV116" s="925"/>
      <c r="HW116" s="918"/>
      <c r="HY116" s="492"/>
      <c r="HZ116" s="476"/>
      <c r="IA116" s="476"/>
      <c r="IB116" s="493"/>
      <c r="IC116" s="492"/>
      <c r="ID116" s="476"/>
      <c r="IE116" s="476"/>
      <c r="IF116" s="493"/>
      <c r="IG116" s="492"/>
      <c r="IH116" s="476"/>
      <c r="II116" s="476"/>
      <c r="IJ116" s="493"/>
    </row>
    <row r="117" spans="1:244">
      <c r="A117" s="554" t="s">
        <v>24</v>
      </c>
      <c r="B117" s="574">
        <v>2045</v>
      </c>
      <c r="C117" s="575">
        <f>+E116</f>
        <v>3454887.8767045364</v>
      </c>
      <c r="D117" s="575">
        <f>+C$31</f>
        <v>445791.98409090913</v>
      </c>
      <c r="E117" s="575">
        <f t="shared" si="150"/>
        <v>3009095.892613627</v>
      </c>
      <c r="F117" s="558">
        <f>+C$28*E117+D117</f>
        <v>784463.5294722144</v>
      </c>
      <c r="G117" s="575">
        <f>+I116</f>
        <v>868805.62159090722</v>
      </c>
      <c r="H117" s="575">
        <f>+G$31</f>
        <v>115840.74954545456</v>
      </c>
      <c r="I117" s="575">
        <f t="shared" si="151"/>
        <v>752964.87204545271</v>
      </c>
      <c r="J117" s="558">
        <f>+G$28*I117+H117</f>
        <v>200586.39605656549</v>
      </c>
      <c r="K117" s="576">
        <f>+M116</f>
        <v>2061583.3876704513</v>
      </c>
      <c r="L117" s="575">
        <f>+K$31</f>
        <v>305419.76113636367</v>
      </c>
      <c r="M117" s="575">
        <f t="shared" si="152"/>
        <v>1756163.6265340876</v>
      </c>
      <c r="N117" s="558">
        <f>+K$28*M117+L117</f>
        <v>503074.69489925564</v>
      </c>
      <c r="O117" s="576">
        <f>+Q116</f>
        <v>1053960.8106060571</v>
      </c>
      <c r="P117" s="575">
        <f>+O$31</f>
        <v>119316.31818181818</v>
      </c>
      <c r="Q117" s="575">
        <f t="shared" si="153"/>
        <v>934644.49242423894</v>
      </c>
      <c r="R117" s="558">
        <f>+O$28*Q117+P117</f>
        <v>224509.87329863632</v>
      </c>
      <c r="S117" s="492">
        <f>+U116</f>
        <v>417929.22242423927</v>
      </c>
      <c r="T117" s="476">
        <f>+S$31</f>
        <v>58315.705454545445</v>
      </c>
      <c r="U117" s="476">
        <f t="shared" si="154"/>
        <v>359613.51696969382</v>
      </c>
      <c r="V117" s="493">
        <f>+S$28*U117+T117</f>
        <v>98789.944188874346</v>
      </c>
      <c r="W117" s="492">
        <f>+Y116</f>
        <v>6124093.5871212222</v>
      </c>
      <c r="X117" s="476">
        <f>+W$31</f>
        <v>693293.61363636365</v>
      </c>
      <c r="Y117" s="476">
        <f t="shared" si="155"/>
        <v>5430799.9734848589</v>
      </c>
      <c r="Z117" s="493">
        <f>+W$28*Y117+X117</f>
        <v>1304526.1849185419</v>
      </c>
      <c r="AA117" s="492">
        <f>+AC116</f>
        <v>4019930.2178030279</v>
      </c>
      <c r="AB117" s="476">
        <f>+AA$31</f>
        <v>450833.29545454547</v>
      </c>
      <c r="AC117" s="476">
        <f t="shared" si="156"/>
        <v>3569096.9223484825</v>
      </c>
      <c r="AD117" s="493">
        <f>+AA$28*AC117+AB117</f>
        <v>852532.54780290741</v>
      </c>
      <c r="AE117" s="492">
        <f>+AG116</f>
        <v>39082.034090909161</v>
      </c>
      <c r="AF117" s="476">
        <f>+AE$31</f>
        <v>4597.886363636364</v>
      </c>
      <c r="AG117" s="476">
        <f t="shared" si="157"/>
        <v>34484.147727272793</v>
      </c>
      <c r="AH117" s="493">
        <f>+AE$28*AG117+AF117</f>
        <v>8479.0520089786878</v>
      </c>
      <c r="AI117" s="492">
        <f>+AK116</f>
        <v>2906216.4128787927</v>
      </c>
      <c r="AJ117" s="476">
        <f>+AI$31</f>
        <v>295547.43181818182</v>
      </c>
      <c r="AK117" s="476">
        <f t="shared" si="161"/>
        <v>2610668.9810606111</v>
      </c>
      <c r="AL117" s="493">
        <f>+AI$28*AK117+AJ117</f>
        <v>589376.31924751378</v>
      </c>
      <c r="AM117" s="492">
        <f>+AO116</f>
        <v>1053235.698977273</v>
      </c>
      <c r="AN117" s="476">
        <f>+AM$31</f>
        <v>110866.91568181818</v>
      </c>
      <c r="AO117" s="476">
        <f t="shared" si="158"/>
        <v>942368.78329545481</v>
      </c>
      <c r="AP117" s="493">
        <f>+AM$28*AO117+AN117</f>
        <v>216929.83409568208</v>
      </c>
      <c r="AQ117" s="492">
        <f>+AS116</f>
        <v>8823089.3134090919</v>
      </c>
      <c r="AR117" s="476">
        <f>+AQ$31</f>
        <v>904932.23727272719</v>
      </c>
      <c r="AS117" s="476">
        <f t="shared" si="159"/>
        <v>7918157.0761363646</v>
      </c>
      <c r="AT117" s="493">
        <f>+AQ$28*AS117+AR117</f>
        <v>1796115.0341153364</v>
      </c>
      <c r="AU117" s="575"/>
      <c r="AV117" s="575"/>
      <c r="AW117" s="575"/>
      <c r="AX117" s="558"/>
      <c r="AY117" s="575"/>
      <c r="AZ117" s="575"/>
      <c r="BA117" s="575"/>
      <c r="BB117" s="558"/>
      <c r="BC117" s="575"/>
      <c r="BD117" s="575"/>
      <c r="BE117" s="575"/>
      <c r="BF117" s="558"/>
      <c r="BG117" s="575"/>
      <c r="BH117" s="575"/>
      <c r="BI117" s="575"/>
      <c r="BJ117" s="558"/>
      <c r="BK117" s="575"/>
      <c r="BL117" s="575"/>
      <c r="BM117" s="575"/>
      <c r="BN117" s="558"/>
      <c r="BO117" s="575"/>
      <c r="BP117" s="575"/>
      <c r="BQ117" s="575"/>
      <c r="BR117" s="558"/>
      <c r="BS117" s="492">
        <f>+BU116</f>
        <v>83108.863636363909</v>
      </c>
      <c r="BT117" s="476">
        <f>+BS$31</f>
        <v>8310.886363636364</v>
      </c>
      <c r="BU117" s="476">
        <f t="shared" si="160"/>
        <v>74797.977272727541</v>
      </c>
      <c r="BV117" s="493">
        <f>+BS$28*BU117+BT117</f>
        <v>16729.344085948323</v>
      </c>
      <c r="BW117" s="492">
        <f>+BY116</f>
        <v>6056832.8863636544</v>
      </c>
      <c r="BX117" s="476">
        <f>+BW$31</f>
        <v>576841.22727272729</v>
      </c>
      <c r="BY117" s="476">
        <f t="shared" si="162"/>
        <v>5479991.6590909269</v>
      </c>
      <c r="BZ117" s="493">
        <f>+BW$28*BY117+BX117</f>
        <v>1193610.2868486196</v>
      </c>
      <c r="CA117" s="492">
        <f>+CC116</f>
        <v>576092.32000000158</v>
      </c>
      <c r="CB117" s="476">
        <f>+CA$31</f>
        <v>54433.919999999998</v>
      </c>
      <c r="CC117" s="476">
        <f t="shared" si="163"/>
        <v>521658.40000000159</v>
      </c>
      <c r="CD117" s="493">
        <f>+CA$28*CC117+CB117</f>
        <v>113146.19198934085</v>
      </c>
      <c r="CE117" s="492">
        <f>+CG116</f>
        <v>48431.548181818391</v>
      </c>
      <c r="CF117" s="476">
        <f>+CE$31</f>
        <v>4725.0290909090909</v>
      </c>
      <c r="CG117" s="476">
        <f t="shared" si="164"/>
        <v>43706.5190909093</v>
      </c>
      <c r="CH117" s="493">
        <f>+CE$28*CG117+CF117</f>
        <v>9644.1658987756509</v>
      </c>
      <c r="CI117" s="492">
        <f>+CK116</f>
        <v>138050.45454545421</v>
      </c>
      <c r="CJ117" s="476">
        <f>+CI$31</f>
        <v>12362.727272727272</v>
      </c>
      <c r="CK117" s="476">
        <f t="shared" si="165"/>
        <v>125687.72727272694</v>
      </c>
      <c r="CL117" s="493">
        <f>+CI$28*CK117+CJ117</f>
        <v>26508.789196312544</v>
      </c>
      <c r="CM117" s="492">
        <f>+CO116</f>
        <v>7618143.4696022831</v>
      </c>
      <c r="CN117" s="476">
        <f>+CM$31</f>
        <v>483691.64886363636</v>
      </c>
      <c r="CO117" s="476">
        <f t="shared" si="166"/>
        <v>7134451.8207386471</v>
      </c>
      <c r="CP117" s="493">
        <f>+CM$28*CO117+CN117</f>
        <v>1286668.9914963902</v>
      </c>
      <c r="CQ117" s="492">
        <f>+CS116</f>
        <v>31779341.438011374</v>
      </c>
      <c r="CR117" s="476">
        <f>+CQ$31</f>
        <v>2017735.9643181816</v>
      </c>
      <c r="CS117" s="476">
        <f t="shared" si="167"/>
        <v>29761605.473693192</v>
      </c>
      <c r="CT117" s="493">
        <f>+CQ$28*CS117+CR117</f>
        <v>5367382.9275625665</v>
      </c>
      <c r="CU117" s="492">
        <f>+CW116</f>
        <v>10819125.960000021</v>
      </c>
      <c r="CV117" s="476">
        <f>+CU$31</f>
        <v>676195.37250000006</v>
      </c>
      <c r="CW117" s="476">
        <f t="shared" si="168"/>
        <v>10142930.587500021</v>
      </c>
      <c r="CX117" s="493">
        <f>+CU$28*CW117+CV117</f>
        <v>1817774.8034500319</v>
      </c>
      <c r="CY117" s="492">
        <f>+DA116</f>
        <v>12106.443750000009</v>
      </c>
      <c r="CZ117" s="476">
        <f>+CY$31</f>
        <v>733.72386363636497</v>
      </c>
      <c r="DA117" s="476">
        <f t="shared" si="40"/>
        <v>11372.719886363644</v>
      </c>
      <c r="DB117" s="493">
        <f>+CY$28*DA117+CZ117</f>
        <v>2013.7151821443497</v>
      </c>
      <c r="DC117" s="492">
        <f>+DE116</f>
        <v>723623.43181818374</v>
      </c>
      <c r="DD117" s="476">
        <f>+DC$31</f>
        <v>44530.672727272722</v>
      </c>
      <c r="DE117" s="476">
        <f t="shared" si="41"/>
        <v>679092.75909091101</v>
      </c>
      <c r="DF117" s="493">
        <f>+DC$28*DE117+DD117</f>
        <v>120962.06686898952</v>
      </c>
      <c r="DG117" s="492">
        <f>+DI116</f>
        <v>406551.32624999905</v>
      </c>
      <c r="DH117" s="476">
        <f>+DG$31</f>
        <v>24639.474318181816</v>
      </c>
      <c r="DI117" s="476">
        <f t="shared" si="42"/>
        <v>381911.85193181725</v>
      </c>
      <c r="DJ117" s="493">
        <f>+DG$28*DI117+DH117</f>
        <v>67623.374369582598</v>
      </c>
      <c r="DK117" s="492">
        <f>+DM116</f>
        <v>8886150.7432954609</v>
      </c>
      <c r="DL117" s="476">
        <f>+DK$31</f>
        <v>549658.80886363634</v>
      </c>
      <c r="DM117" s="476">
        <f t="shared" si="43"/>
        <v>8336491.9344318248</v>
      </c>
      <c r="DN117" s="493">
        <f>+DK$28*DM117+DL117</f>
        <v>1487924.8885266995</v>
      </c>
      <c r="DO117" s="492">
        <f>+DQ116</f>
        <v>336341.41632575728</v>
      </c>
      <c r="DP117" s="476">
        <f>+DO$31</f>
        <v>19592.703863636354</v>
      </c>
      <c r="DQ117" s="476">
        <f t="shared" si="148"/>
        <v>316748.71246212092</v>
      </c>
      <c r="DR117" s="493">
        <f>+DO$28*DQ117+DP117</f>
        <v>55242.540151807887</v>
      </c>
      <c r="DS117" s="492">
        <f>+DU116</f>
        <v>145175.67272727244</v>
      </c>
      <c r="DT117" s="476">
        <f>+DS$31</f>
        <v>8295.7527272726966</v>
      </c>
      <c r="DU117" s="476">
        <f t="shared" si="58"/>
        <v>136879.91999999975</v>
      </c>
      <c r="DV117" s="493">
        <f>+DS$28*DU117+DT117</f>
        <v>23701.487769436644</v>
      </c>
      <c r="DW117" s="492">
        <f>+DY116</f>
        <v>21075.418806818132</v>
      </c>
      <c r="DX117" s="476">
        <f>+DW$31</f>
        <v>1221.7634090909089</v>
      </c>
      <c r="DY117" s="476">
        <f t="shared" si="59"/>
        <v>19853.655397727223</v>
      </c>
      <c r="DZ117" s="493">
        <f>+DW$28*DY117+DX117</f>
        <v>3456.2778263685796</v>
      </c>
      <c r="EA117" s="492">
        <f>+EC116</f>
        <v>-127572.07017045544</v>
      </c>
      <c r="EB117" s="476">
        <f>+EA$31</f>
        <v>-7120.3015909091364</v>
      </c>
      <c r="EC117" s="476">
        <f t="shared" si="60"/>
        <v>-120451.7685795463</v>
      </c>
      <c r="ED117" s="493">
        <f>+EA$28*EC117+EB117</f>
        <v>-20677.060187031504</v>
      </c>
      <c r="EE117" s="576">
        <f>+EG116</f>
        <v>3737619.8286363729</v>
      </c>
      <c r="EF117" s="580">
        <f>+EE$31</f>
        <v>192495.44181818186</v>
      </c>
      <c r="EG117" s="580">
        <f t="shared" si="69"/>
        <v>3545124.386818191</v>
      </c>
      <c r="EH117" s="493">
        <f>+EE$28*EG117+EF117</f>
        <v>591496.60279807635</v>
      </c>
      <c r="EI117" s="576">
        <f>+EK116</f>
        <v>152641.33155303012</v>
      </c>
      <c r="EJ117" s="580">
        <f>+EI$31</f>
        <v>7696.2015909090906</v>
      </c>
      <c r="EK117" s="580">
        <f t="shared" si="70"/>
        <v>144945.12996212102</v>
      </c>
      <c r="EL117" s="493">
        <f>+EI$28*EK117+EJ117</f>
        <v>24009.670124850803</v>
      </c>
      <c r="EM117" s="576">
        <f>+EO116</f>
        <v>5225529.177272724</v>
      </c>
      <c r="EN117" s="580">
        <f>+EM$31</f>
        <v>261276.45886363636</v>
      </c>
      <c r="EO117" s="580">
        <f t="shared" si="71"/>
        <v>4964252.7184090875</v>
      </c>
      <c r="EP117" s="493">
        <f>+EM$28*EO117+EN117</f>
        <v>819999.47727387981</v>
      </c>
      <c r="EQ117" s="576">
        <f>+ES116</f>
        <v>10261890.121136349</v>
      </c>
      <c r="ER117" s="580">
        <f>+EQ$31</f>
        <v>500580.00590909086</v>
      </c>
      <c r="ES117" s="580">
        <f t="shared" si="94"/>
        <v>9761310.1152272578</v>
      </c>
      <c r="ET117" s="493">
        <f>+EQ$28*ES117+ER117</f>
        <v>1599208.3313755742</v>
      </c>
      <c r="EU117" s="576">
        <f>+EW116</f>
        <v>13259721.346818179</v>
      </c>
      <c r="EV117" s="580">
        <f>+EU$31</f>
        <v>646815.67545454553</v>
      </c>
      <c r="EW117" s="580">
        <f t="shared" si="95"/>
        <v>12612905.671363633</v>
      </c>
      <c r="EX117" s="493">
        <f>+EU$28*EW117+EV117</f>
        <v>2066388.9984433041</v>
      </c>
      <c r="EY117" s="582">
        <f t="shared" si="103"/>
        <v>23252199.281156179</v>
      </c>
      <c r="EZ117" s="557"/>
      <c r="FA117" s="578">
        <f>+EY117</f>
        <v>23252199.281156179</v>
      </c>
      <c r="FD117" s="492"/>
      <c r="FE117" s="476"/>
      <c r="FF117" s="476"/>
      <c r="FG117" s="493"/>
      <c r="FH117" s="492"/>
      <c r="FI117" s="476"/>
      <c r="FJ117" s="476"/>
      <c r="FK117" s="493"/>
      <c r="FL117" s="492"/>
      <c r="FM117" s="476"/>
      <c r="FN117" s="476"/>
      <c r="FO117" s="493"/>
      <c r="FP117" s="492"/>
      <c r="FQ117" s="476"/>
      <c r="FR117" s="476"/>
      <c r="FS117" s="493"/>
      <c r="FT117" s="492"/>
      <c r="FU117" s="476"/>
      <c r="FV117" s="476"/>
      <c r="FW117" s="493"/>
      <c r="FX117" s="492"/>
      <c r="FY117" s="476"/>
      <c r="FZ117" s="476"/>
      <c r="GA117" s="493"/>
      <c r="GB117" s="492"/>
      <c r="GC117" s="476"/>
      <c r="GD117" s="476"/>
      <c r="GE117" s="493"/>
      <c r="GF117" s="492"/>
      <c r="GG117" s="476"/>
      <c r="GH117" s="476"/>
      <c r="GI117" s="493"/>
      <c r="GJ117" s="492"/>
      <c r="GK117" s="476"/>
      <c r="GL117" s="476"/>
      <c r="GM117" s="493"/>
      <c r="GN117" s="492"/>
      <c r="GO117" s="476"/>
      <c r="GP117" s="476"/>
      <c r="GQ117" s="493"/>
      <c r="GR117" s="492"/>
      <c r="GS117" s="476"/>
      <c r="GT117" s="476"/>
      <c r="GU117" s="493"/>
      <c r="GV117" s="492"/>
      <c r="GW117" s="476"/>
      <c r="GX117" s="476"/>
      <c r="GY117" s="493"/>
      <c r="GZ117" s="492"/>
      <c r="HA117" s="476"/>
      <c r="HB117" s="476"/>
      <c r="HC117" s="493"/>
      <c r="HD117" s="576"/>
      <c r="HE117" s="580"/>
      <c r="HF117" s="580"/>
      <c r="HG117" s="918"/>
      <c r="HH117" s="919"/>
      <c r="HI117" s="925"/>
      <c r="HJ117" s="925"/>
      <c r="HK117" s="918"/>
      <c r="HL117" s="919"/>
      <c r="HM117" s="925"/>
      <c r="HN117" s="925"/>
      <c r="HO117" s="918"/>
      <c r="HP117" s="919"/>
      <c r="HQ117" s="925"/>
      <c r="HR117" s="925"/>
      <c r="HS117" s="918"/>
      <c r="HT117" s="919"/>
      <c r="HU117" s="925"/>
      <c r="HV117" s="925"/>
      <c r="HW117" s="918"/>
      <c r="HY117" s="492"/>
      <c r="HZ117" s="476"/>
      <c r="IA117" s="476"/>
      <c r="IB117" s="493"/>
      <c r="IC117" s="492"/>
      <c r="ID117" s="476"/>
      <c r="IE117" s="476"/>
      <c r="IF117" s="493"/>
      <c r="IG117" s="492"/>
      <c r="IH117" s="476"/>
      <c r="II117" s="476"/>
      <c r="IJ117" s="493"/>
    </row>
    <row r="118" spans="1:244">
      <c r="A118" s="554" t="s">
        <v>23</v>
      </c>
      <c r="B118" s="574">
        <v>2045</v>
      </c>
      <c r="C118" s="575">
        <f>+C117</f>
        <v>3454887.8767045364</v>
      </c>
      <c r="D118" s="575">
        <f>+D117</f>
        <v>445791.98409090913</v>
      </c>
      <c r="E118" s="575">
        <f t="shared" si="150"/>
        <v>3009095.892613627</v>
      </c>
      <c r="F118" s="558">
        <f>+C$29*E118+D118</f>
        <v>804077.61627857247</v>
      </c>
      <c r="G118" s="575">
        <f>+G117</f>
        <v>868805.62159090722</v>
      </c>
      <c r="H118" s="575">
        <f>+H117</f>
        <v>115840.74954545456</v>
      </c>
      <c r="I118" s="575">
        <f t="shared" si="151"/>
        <v>752964.87204545271</v>
      </c>
      <c r="J118" s="558">
        <f>+G$29*I118+H118</f>
        <v>205494.42122076525</v>
      </c>
      <c r="K118" s="576">
        <f>+K117</f>
        <v>2061583.3876704513</v>
      </c>
      <c r="L118" s="575">
        <f>+L117</f>
        <v>305419.76113636367</v>
      </c>
      <c r="M118" s="575">
        <f t="shared" si="152"/>
        <v>1756163.6265340876</v>
      </c>
      <c r="N118" s="558">
        <f>+K$29*M118+L118</f>
        <v>514521.83618231054</v>
      </c>
      <c r="O118" s="576">
        <f>+O117</f>
        <v>1053960.8106060571</v>
      </c>
      <c r="P118" s="575">
        <f>+P117</f>
        <v>119316.31818181818</v>
      </c>
      <c r="Q118" s="575">
        <f t="shared" si="153"/>
        <v>934644.49242423894</v>
      </c>
      <c r="R118" s="558">
        <f>+O$29*Q118+P118</f>
        <v>230602.13451653012</v>
      </c>
      <c r="S118" s="492">
        <f>+S117</f>
        <v>417929.22242423927</v>
      </c>
      <c r="T118" s="476">
        <f>+T117</f>
        <v>58315.705454545445</v>
      </c>
      <c r="U118" s="476">
        <f t="shared" si="154"/>
        <v>359613.51696969382</v>
      </c>
      <c r="V118" s="493">
        <f>+S$29*U118+T118</f>
        <v>101134.00067304866</v>
      </c>
      <c r="W118" s="492">
        <f>+W117</f>
        <v>6124093.5871212222</v>
      </c>
      <c r="X118" s="476">
        <f>+X117</f>
        <v>693293.61363636365</v>
      </c>
      <c r="Y118" s="476">
        <f t="shared" si="155"/>
        <v>5430799.9734848589</v>
      </c>
      <c r="Z118" s="493">
        <f>+W$29*Y118+X118</f>
        <v>1339925.5825812658</v>
      </c>
      <c r="AA118" s="492">
        <f>+AA117</f>
        <v>4019930.2178030279</v>
      </c>
      <c r="AB118" s="476">
        <f>+AB117</f>
        <v>450833.29545454547</v>
      </c>
      <c r="AC118" s="476">
        <f t="shared" si="156"/>
        <v>3569096.9223484825</v>
      </c>
      <c r="AD118" s="493">
        <f>+AA$29*AC118+AB118</f>
        <v>875796.87016202125</v>
      </c>
      <c r="AE118" s="492">
        <f>+AE117</f>
        <v>39082.034090909161</v>
      </c>
      <c r="AF118" s="476">
        <f>+AF117</f>
        <v>4597.886363636364</v>
      </c>
      <c r="AG118" s="476">
        <f t="shared" si="157"/>
        <v>34484.147727272793</v>
      </c>
      <c r="AH118" s="493">
        <f>+AE$29*AG118+AF118</f>
        <v>8703.8288493001564</v>
      </c>
      <c r="AI118" s="492">
        <f>+AI117</f>
        <v>2906216.4128787927</v>
      </c>
      <c r="AJ118" s="476">
        <f>+AJ117</f>
        <v>295547.43181818182</v>
      </c>
      <c r="AK118" s="476">
        <f t="shared" si="161"/>
        <v>2610668.9810606111</v>
      </c>
      <c r="AL118" s="493">
        <f>+AI$29*AK118+AJ118</f>
        <v>606393.35354771116</v>
      </c>
      <c r="AM118" s="492">
        <f>+AM117</f>
        <v>1053235.698977273</v>
      </c>
      <c r="AN118" s="476">
        <f>+AN117</f>
        <v>110866.91568181818</v>
      </c>
      <c r="AO118" s="476">
        <f t="shared" si="158"/>
        <v>942368.78329545481</v>
      </c>
      <c r="AP118" s="493">
        <f>+AM$29*AO118+AN118</f>
        <v>223072.44429448986</v>
      </c>
      <c r="AQ118" s="492">
        <f>+AQ117</f>
        <v>8823089.3134090919</v>
      </c>
      <c r="AR118" s="476">
        <f>+AR117</f>
        <v>904932.23727272719</v>
      </c>
      <c r="AS118" s="476">
        <f t="shared" si="159"/>
        <v>7918157.0761363646</v>
      </c>
      <c r="AT118" s="493">
        <f>+AQ$29*AS118+AR118</f>
        <v>1847727.686480104</v>
      </c>
      <c r="AU118" s="575"/>
      <c r="AV118" s="575"/>
      <c r="AW118" s="575"/>
      <c r="AX118" s="558"/>
      <c r="AY118" s="575"/>
      <c r="AZ118" s="575"/>
      <c r="BA118" s="575"/>
      <c r="BB118" s="558"/>
      <c r="BC118" s="575"/>
      <c r="BD118" s="575"/>
      <c r="BE118" s="575"/>
      <c r="BF118" s="558"/>
      <c r="BG118" s="575"/>
      <c r="BH118" s="575"/>
      <c r="BI118" s="575"/>
      <c r="BJ118" s="558"/>
      <c r="BK118" s="575"/>
      <c r="BL118" s="575"/>
      <c r="BM118" s="575"/>
      <c r="BN118" s="558"/>
      <c r="BO118" s="575"/>
      <c r="BP118" s="575"/>
      <c r="BQ118" s="575"/>
      <c r="BR118" s="558"/>
      <c r="BS118" s="492">
        <f>+BS117</f>
        <v>83108.863636363909</v>
      </c>
      <c r="BT118" s="476">
        <f>+BT117</f>
        <v>8310.886363636364</v>
      </c>
      <c r="BU118" s="476">
        <f t="shared" si="160"/>
        <v>74797.977272727541</v>
      </c>
      <c r="BV118" s="493">
        <f>+BS$29*BU118+BT118</f>
        <v>17216.897182135297</v>
      </c>
      <c r="BW118" s="492">
        <f>+BW117</f>
        <v>6056832.8863636544</v>
      </c>
      <c r="BX118" s="476">
        <f>+BX117</f>
        <v>576841.22727272729</v>
      </c>
      <c r="BY118" s="476">
        <f t="shared" si="162"/>
        <v>5479991.6590909269</v>
      </c>
      <c r="BZ118" s="493">
        <f>+BW$29*BY118+BX118</f>
        <v>1193610.2868486196</v>
      </c>
      <c r="CA118" s="492">
        <f>+CA117</f>
        <v>576092.32000000158</v>
      </c>
      <c r="CB118" s="476">
        <f>+CB117</f>
        <v>54433.919999999998</v>
      </c>
      <c r="CC118" s="476">
        <f t="shared" si="163"/>
        <v>521658.40000000159</v>
      </c>
      <c r="CD118" s="493">
        <f>+CA$29*CC118+CB118</f>
        <v>116546.50009051562</v>
      </c>
      <c r="CE118" s="492">
        <f>+CE117</f>
        <v>48431.548181818391</v>
      </c>
      <c r="CF118" s="476">
        <f>+CF117</f>
        <v>4725.0290909090909</v>
      </c>
      <c r="CG118" s="476">
        <f t="shared" si="164"/>
        <v>43706.5190909093</v>
      </c>
      <c r="CH118" s="493">
        <f>+CE$29*CG118+CF118</f>
        <v>9929.0566068309017</v>
      </c>
      <c r="CI118" s="492">
        <f>+CI117</f>
        <v>138050.45454545421</v>
      </c>
      <c r="CJ118" s="476">
        <f>+CJ117</f>
        <v>12362.727272727272</v>
      </c>
      <c r="CK118" s="476">
        <f t="shared" si="165"/>
        <v>125687.72727272694</v>
      </c>
      <c r="CL118" s="493">
        <f>+CI$29*CK118+CJ118</f>
        <v>26508.789196312544</v>
      </c>
      <c r="CM118" s="492">
        <f>+CM117</f>
        <v>7618143.4696022831</v>
      </c>
      <c r="CN118" s="476">
        <f>+CN117</f>
        <v>483691.64886363636</v>
      </c>
      <c r="CO118" s="476">
        <f t="shared" si="166"/>
        <v>7134451.8207386471</v>
      </c>
      <c r="CP118" s="493">
        <f>+CM$29*CO118+CN118</f>
        <v>1286668.9914963902</v>
      </c>
      <c r="CQ118" s="492">
        <f>+CQ117</f>
        <v>31779341.438011374</v>
      </c>
      <c r="CR118" s="476">
        <f>+CR117</f>
        <v>2017735.9643181816</v>
      </c>
      <c r="CS118" s="476">
        <f t="shared" si="167"/>
        <v>29761605.473693192</v>
      </c>
      <c r="CT118" s="493">
        <f>+CQ$29*CS118+CR118</f>
        <v>5367382.9275625665</v>
      </c>
      <c r="CU118" s="492">
        <f>+CU117</f>
        <v>10819125.960000021</v>
      </c>
      <c r="CV118" s="476">
        <f>+CV117</f>
        <v>676195.37250000006</v>
      </c>
      <c r="CW118" s="476">
        <f t="shared" si="168"/>
        <v>10142930.587500021</v>
      </c>
      <c r="CX118" s="493">
        <f>+CU$29*CW118+CV118</f>
        <v>1817774.8034500319</v>
      </c>
      <c r="CY118" s="492">
        <f>+CY117</f>
        <v>12106.443750000009</v>
      </c>
      <c r="CZ118" s="476">
        <f>+CZ117</f>
        <v>733.72386363636497</v>
      </c>
      <c r="DA118" s="476">
        <f t="shared" si="40"/>
        <v>11372.719886363644</v>
      </c>
      <c r="DB118" s="493">
        <f>+CY$29*DA118+CZ118</f>
        <v>2013.7151821443497</v>
      </c>
      <c r="DC118" s="492">
        <f>+DC117</f>
        <v>723623.43181818374</v>
      </c>
      <c r="DD118" s="476">
        <f>+DD117</f>
        <v>44530.672727272722</v>
      </c>
      <c r="DE118" s="476">
        <f t="shared" si="41"/>
        <v>679092.75909091101</v>
      </c>
      <c r="DF118" s="493">
        <f>+DC$29*DE118+DD118</f>
        <v>120962.06686898952</v>
      </c>
      <c r="DG118" s="492">
        <f>+DG117</f>
        <v>406551.32624999905</v>
      </c>
      <c r="DH118" s="476">
        <f>+DH117</f>
        <v>24639.474318181816</v>
      </c>
      <c r="DI118" s="476">
        <f t="shared" si="42"/>
        <v>381911.85193181725</v>
      </c>
      <c r="DJ118" s="493">
        <f>+DG$29*DI118+DH118</f>
        <v>67623.374369582598</v>
      </c>
      <c r="DK118" s="492">
        <f>+DK117</f>
        <v>8886150.7432954609</v>
      </c>
      <c r="DL118" s="476">
        <f>+DL117</f>
        <v>549658.80886363634</v>
      </c>
      <c r="DM118" s="476">
        <f t="shared" si="43"/>
        <v>8336491.9344318248</v>
      </c>
      <c r="DN118" s="493">
        <f>+DK$29*DM118+DL118</f>
        <v>1487924.8885266995</v>
      </c>
      <c r="DO118" s="492">
        <f>+DO117</f>
        <v>336341.41632575728</v>
      </c>
      <c r="DP118" s="476">
        <f>+DP117</f>
        <v>19592.703863636354</v>
      </c>
      <c r="DQ118" s="476">
        <f t="shared" si="148"/>
        <v>316748.71246212092</v>
      </c>
      <c r="DR118" s="493">
        <f>+DO$29*DQ118+DP118</f>
        <v>55242.540151807887</v>
      </c>
      <c r="DS118" s="492">
        <f>+DS117</f>
        <v>145175.67272727244</v>
      </c>
      <c r="DT118" s="476">
        <f>+DT117</f>
        <v>8295.7527272726966</v>
      </c>
      <c r="DU118" s="476">
        <f t="shared" si="58"/>
        <v>136879.91999999975</v>
      </c>
      <c r="DV118" s="493">
        <f>+DS$29*DU118+DT118</f>
        <v>23701.487769436644</v>
      </c>
      <c r="DW118" s="492">
        <f>+DW117</f>
        <v>21075.418806818132</v>
      </c>
      <c r="DX118" s="476">
        <f>+DX117</f>
        <v>1221.7634090909089</v>
      </c>
      <c r="DY118" s="476">
        <f t="shared" si="59"/>
        <v>19853.655397727223</v>
      </c>
      <c r="DZ118" s="493">
        <f>+DW$29*DY118+DX118</f>
        <v>3456.2778263685796</v>
      </c>
      <c r="EA118" s="492">
        <f>+EA117</f>
        <v>-127572.07017045544</v>
      </c>
      <c r="EB118" s="476">
        <f>+EB117</f>
        <v>-7120.3015909091364</v>
      </c>
      <c r="EC118" s="476">
        <f t="shared" si="60"/>
        <v>-120451.7685795463</v>
      </c>
      <c r="ED118" s="493">
        <f>+EA$29*EC118+EB118</f>
        <v>-20677.060187031504</v>
      </c>
      <c r="EE118" s="576">
        <f>+EE117</f>
        <v>3737619.8286363729</v>
      </c>
      <c r="EF118" s="580">
        <f>+EF117</f>
        <v>192495.44181818186</v>
      </c>
      <c r="EG118" s="580">
        <f t="shared" si="69"/>
        <v>3545124.386818191</v>
      </c>
      <c r="EH118" s="493">
        <f>+EE$29*EG118+EF118</f>
        <v>591496.60279807635</v>
      </c>
      <c r="EI118" s="576">
        <f>+EI117</f>
        <v>152641.33155303012</v>
      </c>
      <c r="EJ118" s="580">
        <f>+EJ117</f>
        <v>7696.2015909090906</v>
      </c>
      <c r="EK118" s="580">
        <f t="shared" si="70"/>
        <v>144945.12996212102</v>
      </c>
      <c r="EL118" s="493">
        <f>+EI$29*EK118+EJ118</f>
        <v>24009.670124850803</v>
      </c>
      <c r="EM118" s="576">
        <f>+EM117</f>
        <v>5225529.177272724</v>
      </c>
      <c r="EN118" s="580">
        <f>+EN117</f>
        <v>261276.45886363636</v>
      </c>
      <c r="EO118" s="580">
        <f t="shared" si="71"/>
        <v>4964252.7184090875</v>
      </c>
      <c r="EP118" s="493">
        <f>+EM$29*EO118+EN118</f>
        <v>819999.47727387981</v>
      </c>
      <c r="EQ118" s="576">
        <f>+EQ117</f>
        <v>10261890.121136349</v>
      </c>
      <c r="ER118" s="580">
        <f>+ER117</f>
        <v>500580.00590909086</v>
      </c>
      <c r="ES118" s="580">
        <f t="shared" si="94"/>
        <v>9761310.1152272578</v>
      </c>
      <c r="ET118" s="493">
        <f>+EQ$29*ES118+ER118</f>
        <v>1599208.3313755742</v>
      </c>
      <c r="EU118" s="576">
        <f>+EU117</f>
        <v>13259721.346818179</v>
      </c>
      <c r="EV118" s="580">
        <f>+EV117</f>
        <v>646815.67545454553</v>
      </c>
      <c r="EW118" s="580">
        <f t="shared" si="95"/>
        <v>12612905.671363633</v>
      </c>
      <c r="EX118" s="493">
        <f>+EU$29*EW118+EV118</f>
        <v>2066388.9984433041</v>
      </c>
      <c r="EY118" s="582">
        <f t="shared" si="103"/>
        <v>23434438.397743206</v>
      </c>
      <c r="EZ118" s="579">
        <f>+EY118</f>
        <v>23434438.397743206</v>
      </c>
      <c r="FA118" s="553"/>
      <c r="FD118" s="492"/>
      <c r="FE118" s="476"/>
      <c r="FF118" s="476"/>
      <c r="FG118" s="493"/>
      <c r="FH118" s="492"/>
      <c r="FI118" s="476"/>
      <c r="FJ118" s="476"/>
      <c r="FK118" s="493"/>
      <c r="FL118" s="492"/>
      <c r="FM118" s="476"/>
      <c r="FN118" s="476"/>
      <c r="FO118" s="493"/>
      <c r="FP118" s="492"/>
      <c r="FQ118" s="476"/>
      <c r="FR118" s="476"/>
      <c r="FS118" s="493"/>
      <c r="FT118" s="492"/>
      <c r="FU118" s="476"/>
      <c r="FV118" s="476"/>
      <c r="FW118" s="493"/>
      <c r="FX118" s="492"/>
      <c r="FY118" s="476"/>
      <c r="FZ118" s="476"/>
      <c r="GA118" s="493"/>
      <c r="GB118" s="492"/>
      <c r="GC118" s="476"/>
      <c r="GD118" s="476"/>
      <c r="GE118" s="493"/>
      <c r="GF118" s="492"/>
      <c r="GG118" s="476"/>
      <c r="GH118" s="476"/>
      <c r="GI118" s="493"/>
      <c r="GJ118" s="492"/>
      <c r="GK118" s="476"/>
      <c r="GL118" s="476"/>
      <c r="GM118" s="493"/>
      <c r="GN118" s="492"/>
      <c r="GO118" s="476"/>
      <c r="GP118" s="476"/>
      <c r="GQ118" s="493"/>
      <c r="GR118" s="492"/>
      <c r="GS118" s="476"/>
      <c r="GT118" s="476"/>
      <c r="GU118" s="493"/>
      <c r="GV118" s="492"/>
      <c r="GW118" s="476"/>
      <c r="GX118" s="476"/>
      <c r="GY118" s="493"/>
      <c r="GZ118" s="492"/>
      <c r="HA118" s="476"/>
      <c r="HB118" s="476"/>
      <c r="HC118" s="493"/>
      <c r="HD118" s="576"/>
      <c r="HE118" s="580"/>
      <c r="HF118" s="580"/>
      <c r="HG118" s="918"/>
      <c r="HH118" s="919"/>
      <c r="HI118" s="925"/>
      <c r="HJ118" s="925"/>
      <c r="HK118" s="918"/>
      <c r="HL118" s="919"/>
      <c r="HM118" s="925"/>
      <c r="HN118" s="925"/>
      <c r="HO118" s="918"/>
      <c r="HP118" s="919"/>
      <c r="HQ118" s="925"/>
      <c r="HR118" s="925"/>
      <c r="HS118" s="918"/>
      <c r="HT118" s="919"/>
      <c r="HU118" s="925"/>
      <c r="HV118" s="925"/>
      <c r="HW118" s="918"/>
      <c r="HY118" s="492"/>
      <c r="HZ118" s="476"/>
      <c r="IA118" s="476"/>
      <c r="IB118" s="493"/>
      <c r="IC118" s="492"/>
      <c r="ID118" s="476"/>
      <c r="IE118" s="476"/>
      <c r="IF118" s="493"/>
      <c r="IG118" s="492"/>
      <c r="IH118" s="476"/>
      <c r="II118" s="476"/>
      <c r="IJ118" s="493"/>
    </row>
    <row r="119" spans="1:244">
      <c r="A119" s="554" t="s">
        <v>24</v>
      </c>
      <c r="B119" s="574">
        <v>2046</v>
      </c>
      <c r="C119" s="575">
        <f>+E118</f>
        <v>3009095.892613627</v>
      </c>
      <c r="D119" s="575">
        <f>+C$31</f>
        <v>445791.98409090913</v>
      </c>
      <c r="E119" s="575">
        <f t="shared" si="150"/>
        <v>2563303.9085227177</v>
      </c>
      <c r="F119" s="558">
        <f>+C$28*E119+D119</f>
        <v>734289.96719350223</v>
      </c>
      <c r="G119" s="575">
        <f>+I118</f>
        <v>752964.87204545271</v>
      </c>
      <c r="H119" s="575">
        <f>+G$31</f>
        <v>115840.74954545456</v>
      </c>
      <c r="I119" s="575">
        <f t="shared" si="151"/>
        <v>637124.12249999819</v>
      </c>
      <c r="J119" s="558">
        <f>+G$28*I119+H119</f>
        <v>187548.60428562533</v>
      </c>
      <c r="K119" s="576">
        <f>+M118</f>
        <v>1756163.6265340876</v>
      </c>
      <c r="L119" s="575">
        <f>+K$31</f>
        <v>305419.76113636367</v>
      </c>
      <c r="M119" s="575">
        <f t="shared" si="152"/>
        <v>1450743.8653977239</v>
      </c>
      <c r="N119" s="558">
        <f>+K$28*M119+L119</f>
        <v>468699.92381005699</v>
      </c>
      <c r="O119" s="576">
        <f>+Q118</f>
        <v>934644.49242423894</v>
      </c>
      <c r="P119" s="575">
        <f>+O$31</f>
        <v>119316.31818181818</v>
      </c>
      <c r="Q119" s="575">
        <f t="shared" si="153"/>
        <v>815328.17424242082</v>
      </c>
      <c r="R119" s="558">
        <f>+O$28*Q119+P119</f>
        <v>211080.90881563822</v>
      </c>
      <c r="S119" s="492">
        <f>+U118</f>
        <v>359613.51696969382</v>
      </c>
      <c r="T119" s="476">
        <f>+S$31</f>
        <v>58315.705454545445</v>
      </c>
      <c r="U119" s="476">
        <f t="shared" si="154"/>
        <v>301297.81151514838</v>
      </c>
      <c r="V119" s="493">
        <f>+S$28*U119+T119</f>
        <v>92226.554123847978</v>
      </c>
      <c r="W119" s="492">
        <f>+Y118</f>
        <v>5430799.9734848589</v>
      </c>
      <c r="X119" s="476">
        <f>+W$31</f>
        <v>693293.61363636365</v>
      </c>
      <c r="Y119" s="476">
        <f t="shared" si="155"/>
        <v>4737506.3598484956</v>
      </c>
      <c r="Z119" s="493">
        <f>+W$28*Y119+X119</f>
        <v>1226496.4949676259</v>
      </c>
      <c r="AA119" s="492">
        <f>+AC118</f>
        <v>3569096.9223484825</v>
      </c>
      <c r="AB119" s="476">
        <f>+AA$31</f>
        <v>450833.29545454547</v>
      </c>
      <c r="AC119" s="476">
        <f t="shared" si="156"/>
        <v>3118263.6268939371</v>
      </c>
      <c r="AD119" s="493">
        <f>+AA$28*AC119+AB119</f>
        <v>801791.58961153543</v>
      </c>
      <c r="AE119" s="492">
        <f>+AG118</f>
        <v>34484.147727272793</v>
      </c>
      <c r="AF119" s="476">
        <f>+AE$31</f>
        <v>4597.886363636364</v>
      </c>
      <c r="AG119" s="476">
        <f t="shared" si="157"/>
        <v>29886.261363636429</v>
      </c>
      <c r="AH119" s="493">
        <f>+AE$28*AG119+AF119</f>
        <v>7961.5632562663786</v>
      </c>
      <c r="AI119" s="492">
        <f>+AK118</f>
        <v>2610668.9810606111</v>
      </c>
      <c r="AJ119" s="476">
        <f>+AI$31</f>
        <v>295547.43181818182</v>
      </c>
      <c r="AK119" s="476">
        <f t="shared" si="161"/>
        <v>2315121.5492424294</v>
      </c>
      <c r="AL119" s="493">
        <f>+AI$28*AK119+AJ119</f>
        <v>556112.67161400465</v>
      </c>
      <c r="AM119" s="492">
        <f>+AO118</f>
        <v>942368.78329545481</v>
      </c>
      <c r="AN119" s="476">
        <f>+AM$31</f>
        <v>110866.91568181818</v>
      </c>
      <c r="AO119" s="476">
        <f t="shared" si="158"/>
        <v>831501.86761363666</v>
      </c>
      <c r="AP119" s="493">
        <f>+AM$28*AO119+AN119</f>
        <v>204451.84369405103</v>
      </c>
      <c r="AQ119" s="492">
        <f>+AS118</f>
        <v>7918157.0761363646</v>
      </c>
      <c r="AR119" s="476">
        <f>+AQ$31</f>
        <v>904932.23727272719</v>
      </c>
      <c r="AS119" s="476">
        <f t="shared" si="159"/>
        <v>7013224.8388636373</v>
      </c>
      <c r="AT119" s="493">
        <f>+AQ$28*AS119+AR119</f>
        <v>1694265.5716190385</v>
      </c>
      <c r="AU119" s="575"/>
      <c r="AV119" s="575"/>
      <c r="AW119" s="575"/>
      <c r="AX119" s="558"/>
      <c r="AY119" s="575"/>
      <c r="AZ119" s="575"/>
      <c r="BA119" s="575"/>
      <c r="BB119" s="558"/>
      <c r="BC119" s="575"/>
      <c r="BD119" s="575"/>
      <c r="BE119" s="575"/>
      <c r="BF119" s="558"/>
      <c r="BG119" s="575"/>
      <c r="BH119" s="575"/>
      <c r="BI119" s="575"/>
      <c r="BJ119" s="558"/>
      <c r="BK119" s="575"/>
      <c r="BL119" s="575"/>
      <c r="BM119" s="575"/>
      <c r="BN119" s="558"/>
      <c r="BO119" s="575"/>
      <c r="BP119" s="575"/>
      <c r="BQ119" s="575"/>
      <c r="BR119" s="558"/>
      <c r="BS119" s="492">
        <f>+BU118</f>
        <v>74797.977272727541</v>
      </c>
      <c r="BT119" s="476">
        <f>+BS$31</f>
        <v>8310.886363636364</v>
      </c>
      <c r="BU119" s="476">
        <f t="shared" si="160"/>
        <v>66487.090909091174</v>
      </c>
      <c r="BV119" s="493">
        <f>+BS$28*BU119+BT119</f>
        <v>15793.95989458033</v>
      </c>
      <c r="BW119" s="492">
        <f>+BY118</f>
        <v>5479991.6590909269</v>
      </c>
      <c r="BX119" s="476">
        <f>+BW$31</f>
        <v>576841.22727272729</v>
      </c>
      <c r="BY119" s="476">
        <f t="shared" si="162"/>
        <v>4903150.4318181993</v>
      </c>
      <c r="BZ119" s="493">
        <f>+BW$28*BY119+BX119</f>
        <v>1128687.2279458945</v>
      </c>
      <c r="CA119" s="492">
        <f>+CC118</f>
        <v>521658.40000000159</v>
      </c>
      <c r="CB119" s="476">
        <f>+CA$31</f>
        <v>54433.919999999998</v>
      </c>
      <c r="CC119" s="476">
        <f t="shared" si="163"/>
        <v>467224.48000000161</v>
      </c>
      <c r="CD119" s="493">
        <f>+CA$28*CC119+CB119</f>
        <v>107019.69404262703</v>
      </c>
      <c r="CE119" s="492">
        <f>+CG118</f>
        <v>43706.5190909093</v>
      </c>
      <c r="CF119" s="476">
        <f>+CE$31</f>
        <v>4725.0290909090909</v>
      </c>
      <c r="CG119" s="476">
        <f t="shared" si="164"/>
        <v>38981.490000000209</v>
      </c>
      <c r="CH119" s="493">
        <f>+CE$28*CG119+CF119</f>
        <v>9112.3673249522417</v>
      </c>
      <c r="CI119" s="492">
        <f>+CK118</f>
        <v>125687.72727272694</v>
      </c>
      <c r="CJ119" s="476">
        <f>+CI$31</f>
        <v>12362.727272727272</v>
      </c>
      <c r="CK119" s="476">
        <f t="shared" si="165"/>
        <v>113324.99999999968</v>
      </c>
      <c r="CL119" s="493">
        <f>+CI$28*CK119+CJ119</f>
        <v>25117.373269402513</v>
      </c>
      <c r="CM119" s="492">
        <f>+CO118</f>
        <v>7134451.8207386471</v>
      </c>
      <c r="CN119" s="476">
        <f>+CM$31</f>
        <v>483691.64886363636</v>
      </c>
      <c r="CO119" s="476">
        <f t="shared" si="166"/>
        <v>6650760.1718750112</v>
      </c>
      <c r="CP119" s="493">
        <f>+CM$28*CO119+CN119</f>
        <v>1232229.8496229833</v>
      </c>
      <c r="CQ119" s="492">
        <f>+CS118</f>
        <v>29761605.473693192</v>
      </c>
      <c r="CR119" s="476">
        <f>+CQ$31</f>
        <v>2017735.9643181816</v>
      </c>
      <c r="CS119" s="476">
        <f t="shared" si="167"/>
        <v>27743869.50937501</v>
      </c>
      <c r="CT119" s="493">
        <f>+CQ$28*CS119+CR119</f>
        <v>5140288.2181900656</v>
      </c>
      <c r="CU119" s="492">
        <f>+CW118</f>
        <v>10142930.587500021</v>
      </c>
      <c r="CV119" s="476">
        <f>+CU$31</f>
        <v>676195.37250000006</v>
      </c>
      <c r="CW119" s="476">
        <f t="shared" si="168"/>
        <v>9466735.2150000203</v>
      </c>
      <c r="CX119" s="493">
        <f>+CU$28*CW119+CV119</f>
        <v>1741669.5080533633</v>
      </c>
      <c r="CY119" s="492">
        <f>+DA118</f>
        <v>11372.719886363644</v>
      </c>
      <c r="CZ119" s="476">
        <f>+CY$31</f>
        <v>733.72386363636497</v>
      </c>
      <c r="DA119" s="476">
        <f t="shared" si="40"/>
        <v>10638.996022727279</v>
      </c>
      <c r="DB119" s="493">
        <f>+CY$28*DA119+CZ119</f>
        <v>1931.1350970793183</v>
      </c>
      <c r="DC119" s="492">
        <f>+DE118</f>
        <v>679092.75909091101</v>
      </c>
      <c r="DD119" s="476">
        <f>+DC$31</f>
        <v>44530.672727272722</v>
      </c>
      <c r="DE119" s="476">
        <f t="shared" si="41"/>
        <v>634562.08636363829</v>
      </c>
      <c r="DF119" s="493">
        <f>+DC$28*DE119+DD119</f>
        <v>115950.17217117205</v>
      </c>
      <c r="DG119" s="492">
        <f>+DI118</f>
        <v>381911.85193181725</v>
      </c>
      <c r="DH119" s="476">
        <f>+DG$31</f>
        <v>24639.474318181816</v>
      </c>
      <c r="DI119" s="476">
        <f t="shared" si="42"/>
        <v>357272.37761363544</v>
      </c>
      <c r="DJ119" s="493">
        <f>+DG$28*DI119+DH119</f>
        <v>64850.219527556736</v>
      </c>
      <c r="DK119" s="492">
        <f>+DM118</f>
        <v>8336491.9344318248</v>
      </c>
      <c r="DL119" s="476">
        <f>+DK$31</f>
        <v>549658.80886363634</v>
      </c>
      <c r="DM119" s="476">
        <f t="shared" si="43"/>
        <v>7786833.1255681887</v>
      </c>
      <c r="DN119" s="493">
        <f>+DK$28*DM119+DL119</f>
        <v>1426061.1909664976</v>
      </c>
      <c r="DO119" s="492">
        <f>+DQ118</f>
        <v>316748.71246212092</v>
      </c>
      <c r="DP119" s="476">
        <f>+DO$31</f>
        <v>19592.703863636354</v>
      </c>
      <c r="DQ119" s="476">
        <f t="shared" si="148"/>
        <v>297156.00859848456</v>
      </c>
      <c r="DR119" s="493">
        <f>+DO$28*DQ119+DP119</f>
        <v>53037.395639137481</v>
      </c>
      <c r="DS119" s="492">
        <f>+DU118</f>
        <v>136879.91999999975</v>
      </c>
      <c r="DT119" s="476">
        <f>+DS$31</f>
        <v>8295.7527272726966</v>
      </c>
      <c r="DU119" s="476">
        <f t="shared" si="58"/>
        <v>128584.16727272705</v>
      </c>
      <c r="DV119" s="493">
        <f>+DS$28*DU119+DT119</f>
        <v>22767.806857790343</v>
      </c>
      <c r="DW119" s="492">
        <f>+DY118</f>
        <v>19853.655397727223</v>
      </c>
      <c r="DX119" s="476">
        <f>+DW$31</f>
        <v>1221.7634090909089</v>
      </c>
      <c r="DY119" s="476">
        <f t="shared" si="59"/>
        <v>18631.891988636315</v>
      </c>
      <c r="DZ119" s="493">
        <f>+DW$28*DY119+DX119</f>
        <v>3318.7692468437999</v>
      </c>
      <c r="EA119" s="492">
        <f>+EC118</f>
        <v>-120451.7685795463</v>
      </c>
      <c r="EB119" s="476">
        <f>+EA$31</f>
        <v>-7120.3015909091364</v>
      </c>
      <c r="EC119" s="476">
        <f t="shared" si="60"/>
        <v>-113331.46698863717</v>
      </c>
      <c r="ED119" s="493">
        <f>+EA$28*EC119+EB119</f>
        <v>-19875.675442433138</v>
      </c>
      <c r="EE119" s="576">
        <f>+EG118</f>
        <v>3545124.386818191</v>
      </c>
      <c r="EF119" s="580">
        <f>+EE$31</f>
        <v>192495.44181818186</v>
      </c>
      <c r="EG119" s="580">
        <f t="shared" si="69"/>
        <v>3352628.9450000091</v>
      </c>
      <c r="EH119" s="493">
        <f>+EE$28*EG119+EF119</f>
        <v>569831.38138740335</v>
      </c>
      <c r="EI119" s="576">
        <f>+EK118</f>
        <v>144945.12996212102</v>
      </c>
      <c r="EJ119" s="580">
        <f>+EI$31</f>
        <v>7696.2015909090906</v>
      </c>
      <c r="EK119" s="580">
        <f t="shared" si="70"/>
        <v>137248.92837121192</v>
      </c>
      <c r="EL119" s="493">
        <f>+EI$28*EK119+EJ119</f>
        <v>23143.468255791951</v>
      </c>
      <c r="EM119" s="576">
        <f>+EO118</f>
        <v>4964252.7184090875</v>
      </c>
      <c r="EN119" s="580">
        <f>+EM$31</f>
        <v>261276.45886363636</v>
      </c>
      <c r="EO119" s="580">
        <f t="shared" si="71"/>
        <v>4702976.259545451</v>
      </c>
      <c r="EP119" s="493">
        <f>+EM$28*EO119+EN119</f>
        <v>790593.00262070901</v>
      </c>
      <c r="EQ119" s="576">
        <f>+ES118</f>
        <v>9761310.1152272578</v>
      </c>
      <c r="ER119" s="580">
        <f>+EQ$31</f>
        <v>500580.00590909086</v>
      </c>
      <c r="ES119" s="580">
        <f t="shared" si="94"/>
        <v>9260730.109318167</v>
      </c>
      <c r="ET119" s="493">
        <f>+EQ$28*ES119+ER119</f>
        <v>1542868.4172490879</v>
      </c>
      <c r="EU119" s="576">
        <f>+EW118</f>
        <v>12612905.671363633</v>
      </c>
      <c r="EV119" s="580">
        <f>+EU$31</f>
        <v>646815.67545454553</v>
      </c>
      <c r="EW119" s="580">
        <f t="shared" si="95"/>
        <v>11966089.995909087</v>
      </c>
      <c r="EX119" s="493">
        <f>+EU$28*EW119+EV119</f>
        <v>1993590.3664951627</v>
      </c>
      <c r="EY119" s="582">
        <f t="shared" si="103"/>
        <v>22172911.541406855</v>
      </c>
      <c r="EZ119" s="557"/>
      <c r="FA119" s="578">
        <f>+EY119</f>
        <v>22172911.541406855</v>
      </c>
      <c r="FD119" s="492"/>
      <c r="FE119" s="476"/>
      <c r="FF119" s="476"/>
      <c r="FG119" s="493"/>
      <c r="FH119" s="492"/>
      <c r="FI119" s="476"/>
      <c r="FJ119" s="476"/>
      <c r="FK119" s="493"/>
      <c r="FL119" s="492"/>
      <c r="FM119" s="476"/>
      <c r="FN119" s="476"/>
      <c r="FO119" s="493"/>
      <c r="FP119" s="492"/>
      <c r="FQ119" s="476"/>
      <c r="FR119" s="476"/>
      <c r="FS119" s="493"/>
      <c r="FT119" s="492"/>
      <c r="FU119" s="476"/>
      <c r="FV119" s="476"/>
      <c r="FW119" s="493"/>
      <c r="FX119" s="492"/>
      <c r="FY119" s="476"/>
      <c r="FZ119" s="476"/>
      <c r="GA119" s="493"/>
      <c r="GB119" s="492"/>
      <c r="GC119" s="476"/>
      <c r="GD119" s="476"/>
      <c r="GE119" s="493"/>
      <c r="GF119" s="492"/>
      <c r="GG119" s="476"/>
      <c r="GH119" s="476"/>
      <c r="GI119" s="493"/>
      <c r="GJ119" s="492"/>
      <c r="GK119" s="476"/>
      <c r="GL119" s="476"/>
      <c r="GM119" s="493"/>
      <c r="GN119" s="492"/>
      <c r="GO119" s="476"/>
      <c r="GP119" s="476"/>
      <c r="GQ119" s="493"/>
      <c r="GR119" s="492"/>
      <c r="GS119" s="476"/>
      <c r="GT119" s="476"/>
      <c r="GU119" s="493"/>
      <c r="GV119" s="492"/>
      <c r="GW119" s="476"/>
      <c r="GX119" s="476"/>
      <c r="GY119" s="493"/>
      <c r="GZ119" s="492"/>
      <c r="HA119" s="476"/>
      <c r="HB119" s="476"/>
      <c r="HC119" s="493"/>
      <c r="HD119" s="576"/>
      <c r="HE119" s="580"/>
      <c r="HF119" s="580"/>
      <c r="HG119" s="918"/>
      <c r="HH119" s="919"/>
      <c r="HI119" s="925"/>
      <c r="HJ119" s="925"/>
      <c r="HK119" s="918"/>
      <c r="HL119" s="919"/>
      <c r="HM119" s="925"/>
      <c r="HN119" s="925"/>
      <c r="HO119" s="918"/>
      <c r="HP119" s="919"/>
      <c r="HQ119" s="925"/>
      <c r="HR119" s="925"/>
      <c r="HS119" s="918"/>
      <c r="HT119" s="919"/>
      <c r="HU119" s="925"/>
      <c r="HV119" s="925"/>
      <c r="HW119" s="918"/>
      <c r="HY119" s="492"/>
      <c r="HZ119" s="476"/>
      <c r="IA119" s="476"/>
      <c r="IB119" s="493"/>
      <c r="IC119" s="492"/>
      <c r="ID119" s="476"/>
      <c r="IE119" s="476"/>
      <c r="IF119" s="493"/>
      <c r="IG119" s="492"/>
      <c r="IH119" s="476"/>
      <c r="II119" s="476"/>
      <c r="IJ119" s="493"/>
    </row>
    <row r="120" spans="1:244">
      <c r="A120" s="554" t="s">
        <v>23</v>
      </c>
      <c r="B120" s="574">
        <v>2046</v>
      </c>
      <c r="C120" s="575">
        <f>+C119</f>
        <v>3009095.892613627</v>
      </c>
      <c r="D120" s="575">
        <f>+D119</f>
        <v>445791.98409090913</v>
      </c>
      <c r="E120" s="575">
        <f t="shared" si="150"/>
        <v>2563303.9085227177</v>
      </c>
      <c r="F120" s="558">
        <f>+C$29*E120+D120</f>
        <v>750998.26336188149</v>
      </c>
      <c r="G120" s="575">
        <f>+G119</f>
        <v>752964.87204545271</v>
      </c>
      <c r="H120" s="575">
        <f>+H119</f>
        <v>115840.74954545456</v>
      </c>
      <c r="I120" s="575">
        <f t="shared" si="151"/>
        <v>637124.12249999819</v>
      </c>
      <c r="J120" s="558">
        <f>+G$29*I120+H120</f>
        <v>191701.54865533282</v>
      </c>
      <c r="K120" s="576">
        <f>+K119</f>
        <v>1756163.6265340876</v>
      </c>
      <c r="L120" s="575">
        <f>+L119</f>
        <v>305419.76113636367</v>
      </c>
      <c r="M120" s="575">
        <f t="shared" si="152"/>
        <v>1450743.8653977239</v>
      </c>
      <c r="N120" s="558">
        <f>+K$29*M120+L120</f>
        <v>478156.25791345013</v>
      </c>
      <c r="O120" s="576">
        <f>+O119</f>
        <v>934644.49242423894</v>
      </c>
      <c r="P120" s="575">
        <f>+P119</f>
        <v>119316.31818181818</v>
      </c>
      <c r="Q120" s="575">
        <f t="shared" si="153"/>
        <v>815328.17424242082</v>
      </c>
      <c r="R120" s="558">
        <f>+O$29*Q120+P120</f>
        <v>216395.43455890729</v>
      </c>
      <c r="S120" s="492">
        <f>+S119</f>
        <v>359613.51696969382</v>
      </c>
      <c r="T120" s="476">
        <f>+T119</f>
        <v>58315.705454545445</v>
      </c>
      <c r="U120" s="476">
        <f t="shared" si="154"/>
        <v>301297.81151514838</v>
      </c>
      <c r="V120" s="493">
        <f>+S$29*U120+T120</f>
        <v>94190.493340318353</v>
      </c>
      <c r="W120" s="492">
        <f>+W119</f>
        <v>5430799.9734848589</v>
      </c>
      <c r="X120" s="476">
        <f>+X119</f>
        <v>693293.61363636365</v>
      </c>
      <c r="Y120" s="476">
        <f t="shared" si="155"/>
        <v>4737506.3598484956</v>
      </c>
      <c r="Z120" s="493">
        <f>+W$29*Y120+X120</f>
        <v>1257376.8205883</v>
      </c>
      <c r="AA120" s="492">
        <f>+AA119</f>
        <v>3569096.9223484825</v>
      </c>
      <c r="AB120" s="476">
        <f>+AB119</f>
        <v>450833.29545454547</v>
      </c>
      <c r="AC120" s="476">
        <f t="shared" si="156"/>
        <v>3118263.6268939371</v>
      </c>
      <c r="AD120" s="493">
        <f>+AA$29*AC120+AB120</f>
        <v>822117.26072528749</v>
      </c>
      <c r="AE120" s="492">
        <f>+AE119</f>
        <v>34484.147727272793</v>
      </c>
      <c r="AF120" s="476">
        <f>+AF119</f>
        <v>4597.886363636364</v>
      </c>
      <c r="AG120" s="476">
        <f t="shared" si="157"/>
        <v>29886.261363636429</v>
      </c>
      <c r="AH120" s="493">
        <f>+AE$29*AG120+AF120</f>
        <v>8156.3698512116525</v>
      </c>
      <c r="AI120" s="492">
        <f>+AI119</f>
        <v>2610668.9810606111</v>
      </c>
      <c r="AJ120" s="476">
        <f>+AJ119</f>
        <v>295547.43181818182</v>
      </c>
      <c r="AK120" s="476">
        <f t="shared" si="161"/>
        <v>2315121.5492424294</v>
      </c>
      <c r="AL120" s="493">
        <f>+AI$29*AK120+AJ120</f>
        <v>571203.24920097215</v>
      </c>
      <c r="AM120" s="492">
        <f>+AM119</f>
        <v>942368.78329545481</v>
      </c>
      <c r="AN120" s="476">
        <f>+AN119</f>
        <v>110866.91568181818</v>
      </c>
      <c r="AO120" s="476">
        <f t="shared" si="158"/>
        <v>831501.86761363666</v>
      </c>
      <c r="AP120" s="493">
        <f>+AM$29*AO120+AN120</f>
        <v>209871.79386946966</v>
      </c>
      <c r="AQ120" s="492">
        <f>+AQ119</f>
        <v>7918157.0761363646</v>
      </c>
      <c r="AR120" s="476">
        <f>+AR119</f>
        <v>904932.23727272719</v>
      </c>
      <c r="AS120" s="476">
        <f t="shared" si="159"/>
        <v>7013224.8388636373</v>
      </c>
      <c r="AT120" s="493">
        <f>+AQ$29*AS120+AR120</f>
        <v>1739979.6351421182</v>
      </c>
      <c r="AU120" s="575"/>
      <c r="AV120" s="575"/>
      <c r="AW120" s="575"/>
      <c r="AX120" s="558"/>
      <c r="AY120" s="575"/>
      <c r="AZ120" s="575"/>
      <c r="BA120" s="575"/>
      <c r="BB120" s="558"/>
      <c r="BC120" s="575"/>
      <c r="BD120" s="575"/>
      <c r="BE120" s="575"/>
      <c r="BF120" s="558"/>
      <c r="BG120" s="575"/>
      <c r="BH120" s="575"/>
      <c r="BI120" s="575"/>
      <c r="BJ120" s="558"/>
      <c r="BK120" s="575"/>
      <c r="BL120" s="575"/>
      <c r="BM120" s="575"/>
      <c r="BN120" s="558"/>
      <c r="BO120" s="575"/>
      <c r="BP120" s="575"/>
      <c r="BQ120" s="575"/>
      <c r="BR120" s="558"/>
      <c r="BS120" s="492">
        <f>+BS119</f>
        <v>74797.977272727541</v>
      </c>
      <c r="BT120" s="476">
        <f>+BT119</f>
        <v>8310.886363636364</v>
      </c>
      <c r="BU120" s="476">
        <f t="shared" si="160"/>
        <v>66487.090909091174</v>
      </c>
      <c r="BV120" s="493">
        <f>+BS$29*BU120+BT120</f>
        <v>16227.340424524307</v>
      </c>
      <c r="BW120" s="492">
        <f>+BW119</f>
        <v>5479991.6590909269</v>
      </c>
      <c r="BX120" s="476">
        <f>+BX119</f>
        <v>576841.22727272729</v>
      </c>
      <c r="BY120" s="476">
        <f t="shared" si="162"/>
        <v>4903150.4318181993</v>
      </c>
      <c r="BZ120" s="493">
        <f>+BW$29*BY120+BX120</f>
        <v>1128687.2279458945</v>
      </c>
      <c r="CA120" s="492">
        <f>+CA119</f>
        <v>521658.40000000159</v>
      </c>
      <c r="CB120" s="476">
        <f>+CB119</f>
        <v>54433.919999999998</v>
      </c>
      <c r="CC120" s="476">
        <f t="shared" si="163"/>
        <v>467224.48000000161</v>
      </c>
      <c r="CD120" s="493">
        <f>+CA$29*CC120+CB120</f>
        <v>110065.18738541837</v>
      </c>
      <c r="CE120" s="492">
        <f>+CE119</f>
        <v>43706.5190909093</v>
      </c>
      <c r="CF120" s="476">
        <f>+CF119</f>
        <v>4725.0290909090909</v>
      </c>
      <c r="CG120" s="476">
        <f t="shared" si="164"/>
        <v>38981.490000000209</v>
      </c>
      <c r="CH120" s="493">
        <f>+CE$29*CG120+CF120</f>
        <v>9366.4590375420594</v>
      </c>
      <c r="CI120" s="492">
        <f>+CI119</f>
        <v>125687.72727272694</v>
      </c>
      <c r="CJ120" s="476">
        <f>+CJ119</f>
        <v>12362.727272727272</v>
      </c>
      <c r="CK120" s="476">
        <f t="shared" si="165"/>
        <v>113324.99999999968</v>
      </c>
      <c r="CL120" s="493">
        <f>+CI$29*CK120+CJ120</f>
        <v>25117.373269402513</v>
      </c>
      <c r="CM120" s="492">
        <f>+CM119</f>
        <v>7134451.8207386471</v>
      </c>
      <c r="CN120" s="476">
        <f>+CN119</f>
        <v>483691.64886363636</v>
      </c>
      <c r="CO120" s="476">
        <f t="shared" si="166"/>
        <v>6650760.1718750112</v>
      </c>
      <c r="CP120" s="493">
        <f>+CM$29*CO120+CN120</f>
        <v>1232229.8496229833</v>
      </c>
      <c r="CQ120" s="492">
        <f>+CQ119</f>
        <v>29761605.473693192</v>
      </c>
      <c r="CR120" s="476">
        <f>+CR119</f>
        <v>2017735.9643181816</v>
      </c>
      <c r="CS120" s="476">
        <f t="shared" si="167"/>
        <v>27743869.50937501</v>
      </c>
      <c r="CT120" s="493">
        <f>+CQ$29*CS120+CR120</f>
        <v>5140288.2181900656</v>
      </c>
      <c r="CU120" s="492">
        <f>+CU119</f>
        <v>10142930.587500021</v>
      </c>
      <c r="CV120" s="476">
        <f>+CV119</f>
        <v>676195.37250000006</v>
      </c>
      <c r="CW120" s="476">
        <f t="shared" si="168"/>
        <v>9466735.2150000203</v>
      </c>
      <c r="CX120" s="493">
        <f>+CU$29*CW120+CV120</f>
        <v>1741669.5080533633</v>
      </c>
      <c r="CY120" s="492">
        <f>+CY119</f>
        <v>11372.719886363644</v>
      </c>
      <c r="CZ120" s="476">
        <f>+CZ119</f>
        <v>733.72386363636497</v>
      </c>
      <c r="DA120" s="476">
        <f t="shared" si="40"/>
        <v>10638.996022727279</v>
      </c>
      <c r="DB120" s="493">
        <f>+CY$29*DA120+CZ120</f>
        <v>1931.1350970793183</v>
      </c>
      <c r="DC120" s="492">
        <f>+DC119</f>
        <v>679092.75909091101</v>
      </c>
      <c r="DD120" s="476">
        <f>+DD119</f>
        <v>44530.672727272722</v>
      </c>
      <c r="DE120" s="476">
        <f t="shared" si="41"/>
        <v>634562.08636363829</v>
      </c>
      <c r="DF120" s="493">
        <f>+DC$29*DE120+DD120</f>
        <v>115950.17217117205</v>
      </c>
      <c r="DG120" s="492">
        <f>+DG119</f>
        <v>381911.85193181725</v>
      </c>
      <c r="DH120" s="476">
        <f>+DH119</f>
        <v>24639.474318181816</v>
      </c>
      <c r="DI120" s="476">
        <f t="shared" si="42"/>
        <v>357272.37761363544</v>
      </c>
      <c r="DJ120" s="493">
        <f>+DG$29*DI120+DH120</f>
        <v>64850.219527556736</v>
      </c>
      <c r="DK120" s="492">
        <f>+DK119</f>
        <v>8336491.9344318248</v>
      </c>
      <c r="DL120" s="476">
        <f>+DL119</f>
        <v>549658.80886363634</v>
      </c>
      <c r="DM120" s="476">
        <f t="shared" si="43"/>
        <v>7786833.1255681887</v>
      </c>
      <c r="DN120" s="493">
        <f>+DK$29*DM120+DL120</f>
        <v>1426061.1909664976</v>
      </c>
      <c r="DO120" s="492">
        <f>+DO119</f>
        <v>316748.71246212092</v>
      </c>
      <c r="DP120" s="476">
        <f>+DP119</f>
        <v>19592.703863636354</v>
      </c>
      <c r="DQ120" s="476">
        <f t="shared" si="148"/>
        <v>297156.00859848456</v>
      </c>
      <c r="DR120" s="493">
        <f>+DO$29*DQ120+DP120</f>
        <v>53037.395639137481</v>
      </c>
      <c r="DS120" s="492">
        <f>+DS119</f>
        <v>136879.91999999975</v>
      </c>
      <c r="DT120" s="476">
        <f>+DT119</f>
        <v>8295.7527272726966</v>
      </c>
      <c r="DU120" s="476">
        <f t="shared" si="58"/>
        <v>128584.16727272705</v>
      </c>
      <c r="DV120" s="493">
        <f>+DS$29*DU120+DT120</f>
        <v>22767.806857790343</v>
      </c>
      <c r="DW120" s="492">
        <f>+DW119</f>
        <v>19853.655397727223</v>
      </c>
      <c r="DX120" s="476">
        <f>+DX119</f>
        <v>1221.7634090909089</v>
      </c>
      <c r="DY120" s="476">
        <f t="shared" si="59"/>
        <v>18631.891988636315</v>
      </c>
      <c r="DZ120" s="493">
        <f>+DW$29*DY120+DX120</f>
        <v>3318.7692468437999</v>
      </c>
      <c r="EA120" s="492">
        <f>+EA119</f>
        <v>-120451.7685795463</v>
      </c>
      <c r="EB120" s="476">
        <f>+EB119</f>
        <v>-7120.3015909091364</v>
      </c>
      <c r="EC120" s="476">
        <f t="shared" si="60"/>
        <v>-113331.46698863717</v>
      </c>
      <c r="ED120" s="493">
        <f>+EA$29*EC120+EB120</f>
        <v>-19875.675442433138</v>
      </c>
      <c r="EE120" s="576">
        <f>+EE119</f>
        <v>3545124.386818191</v>
      </c>
      <c r="EF120" s="580">
        <f>+EF119</f>
        <v>192495.44181818186</v>
      </c>
      <c r="EG120" s="580">
        <f t="shared" si="69"/>
        <v>3352628.9450000091</v>
      </c>
      <c r="EH120" s="493">
        <f>+EE$29*EG120+EF120</f>
        <v>569831.38138740335</v>
      </c>
      <c r="EI120" s="576">
        <f>+EI119</f>
        <v>144945.12996212102</v>
      </c>
      <c r="EJ120" s="580">
        <f>+EJ119</f>
        <v>7696.2015909090906</v>
      </c>
      <c r="EK120" s="580">
        <f t="shared" si="70"/>
        <v>137248.92837121192</v>
      </c>
      <c r="EL120" s="493">
        <f>+EI$29*EK120+EJ120</f>
        <v>23143.468255791951</v>
      </c>
      <c r="EM120" s="576">
        <f>+EM119</f>
        <v>4964252.7184090875</v>
      </c>
      <c r="EN120" s="580">
        <f>+EN119</f>
        <v>261276.45886363636</v>
      </c>
      <c r="EO120" s="580">
        <f t="shared" si="71"/>
        <v>4702976.259545451</v>
      </c>
      <c r="EP120" s="493">
        <f>+EM$29*EO120+EN120</f>
        <v>790593.00262070901</v>
      </c>
      <c r="EQ120" s="576">
        <f>+EQ119</f>
        <v>9761310.1152272578</v>
      </c>
      <c r="ER120" s="580">
        <f>+ER119</f>
        <v>500580.00590909086</v>
      </c>
      <c r="ES120" s="580">
        <f t="shared" si="94"/>
        <v>9260730.109318167</v>
      </c>
      <c r="ET120" s="493">
        <f>+EQ$29*ES120+ER120</f>
        <v>1542868.4172490879</v>
      </c>
      <c r="EU120" s="576">
        <f>+EU119</f>
        <v>12612905.671363633</v>
      </c>
      <c r="EV120" s="580">
        <f>+EV119</f>
        <v>646815.67545454553</v>
      </c>
      <c r="EW120" s="580">
        <f t="shared" si="95"/>
        <v>11966089.995909087</v>
      </c>
      <c r="EX120" s="493">
        <f>+EU$29*EW120+EV120</f>
        <v>1993590.3664951627</v>
      </c>
      <c r="EY120" s="582">
        <f t="shared" si="103"/>
        <v>22331865.94120824</v>
      </c>
      <c r="EZ120" s="579">
        <f>+EY120</f>
        <v>22331865.94120824</v>
      </c>
      <c r="FA120" s="553"/>
      <c r="FD120" s="492"/>
      <c r="FE120" s="476"/>
      <c r="FF120" s="476"/>
      <c r="FG120" s="493"/>
      <c r="FH120" s="492"/>
      <c r="FI120" s="476"/>
      <c r="FJ120" s="476"/>
      <c r="FK120" s="493"/>
      <c r="FL120" s="492"/>
      <c r="FM120" s="476"/>
      <c r="FN120" s="476"/>
      <c r="FO120" s="493"/>
      <c r="FP120" s="492"/>
      <c r="FQ120" s="476"/>
      <c r="FR120" s="476"/>
      <c r="FS120" s="493"/>
      <c r="FT120" s="492"/>
      <c r="FU120" s="476"/>
      <c r="FV120" s="476"/>
      <c r="FW120" s="493"/>
      <c r="FX120" s="492"/>
      <c r="FY120" s="476"/>
      <c r="FZ120" s="476"/>
      <c r="GA120" s="493"/>
      <c r="GB120" s="492"/>
      <c r="GC120" s="476"/>
      <c r="GD120" s="476"/>
      <c r="GE120" s="493"/>
      <c r="GF120" s="492"/>
      <c r="GG120" s="476"/>
      <c r="GH120" s="476"/>
      <c r="GI120" s="493"/>
      <c r="GJ120" s="492"/>
      <c r="GK120" s="476"/>
      <c r="GL120" s="476"/>
      <c r="GM120" s="493"/>
      <c r="GN120" s="492"/>
      <c r="GO120" s="476"/>
      <c r="GP120" s="476"/>
      <c r="GQ120" s="493"/>
      <c r="GR120" s="492"/>
      <c r="GS120" s="476"/>
      <c r="GT120" s="476"/>
      <c r="GU120" s="493"/>
      <c r="GV120" s="492"/>
      <c r="GW120" s="476"/>
      <c r="GX120" s="476"/>
      <c r="GY120" s="493"/>
      <c r="GZ120" s="492"/>
      <c r="HA120" s="476"/>
      <c r="HB120" s="476"/>
      <c r="HC120" s="493"/>
      <c r="HD120" s="576"/>
      <c r="HE120" s="580"/>
      <c r="HF120" s="580"/>
      <c r="HG120" s="918"/>
      <c r="HH120" s="919"/>
      <c r="HI120" s="925"/>
      <c r="HJ120" s="925"/>
      <c r="HK120" s="918"/>
      <c r="HL120" s="919"/>
      <c r="HM120" s="925"/>
      <c r="HN120" s="925"/>
      <c r="HO120" s="918"/>
      <c r="HP120" s="919"/>
      <c r="HQ120" s="925"/>
      <c r="HR120" s="925"/>
      <c r="HS120" s="918"/>
      <c r="HT120" s="919"/>
      <c r="HU120" s="925"/>
      <c r="HV120" s="925"/>
      <c r="HW120" s="918"/>
      <c r="HY120" s="492"/>
      <c r="HZ120" s="476"/>
      <c r="IA120" s="476"/>
      <c r="IB120" s="493"/>
      <c r="IC120" s="492"/>
      <c r="ID120" s="476"/>
      <c r="IE120" s="476"/>
      <c r="IF120" s="493"/>
      <c r="IG120" s="492"/>
      <c r="IH120" s="476"/>
      <c r="II120" s="476"/>
      <c r="IJ120" s="493"/>
    </row>
    <row r="121" spans="1:244">
      <c r="A121" s="554" t="s">
        <v>24</v>
      </c>
      <c r="B121" s="574">
        <v>2047</v>
      </c>
      <c r="C121" s="575">
        <f>+E120</f>
        <v>2563303.9085227177</v>
      </c>
      <c r="D121" s="575">
        <f>+C$31</f>
        <v>445791.98409090913</v>
      </c>
      <c r="E121" s="575">
        <f t="shared" si="150"/>
        <v>2117511.9244318083</v>
      </c>
      <c r="F121" s="558">
        <f>+C$28*E121+D121</f>
        <v>684116.4049147903</v>
      </c>
      <c r="G121" s="575">
        <f>+I120</f>
        <v>637124.12249999819</v>
      </c>
      <c r="H121" s="575">
        <f>+G$31</f>
        <v>115840.74954545456</v>
      </c>
      <c r="I121" s="575">
        <f t="shared" si="151"/>
        <v>521283.37295454362</v>
      </c>
      <c r="J121" s="558">
        <f>+G$28*I121+H121</f>
        <v>174510.81251468515</v>
      </c>
      <c r="K121" s="576">
        <f>+M120</f>
        <v>1450743.8653977239</v>
      </c>
      <c r="L121" s="575">
        <f>+K$31</f>
        <v>305419.76113636367</v>
      </c>
      <c r="M121" s="575">
        <f t="shared" si="152"/>
        <v>1145324.1042613601</v>
      </c>
      <c r="N121" s="558">
        <f>+K$28*M121+L121</f>
        <v>434325.15272085834</v>
      </c>
      <c r="O121" s="576">
        <f>+Q120</f>
        <v>815328.17424242082</v>
      </c>
      <c r="P121" s="575">
        <f>+O$31</f>
        <v>119316.31818181818</v>
      </c>
      <c r="Q121" s="575">
        <f t="shared" si="153"/>
        <v>696011.8560606027</v>
      </c>
      <c r="R121" s="558">
        <f>+O$28*Q121+P121</f>
        <v>197651.94433264009</v>
      </c>
      <c r="S121" s="492">
        <f>+U120</f>
        <v>301297.81151514838</v>
      </c>
      <c r="T121" s="476">
        <f>+S$31</f>
        <v>58315.705454545445</v>
      </c>
      <c r="U121" s="476">
        <f t="shared" si="154"/>
        <v>242982.10606060294</v>
      </c>
      <c r="V121" s="493">
        <f>+S$28*U121+T121</f>
        <v>85663.164058821611</v>
      </c>
      <c r="W121" s="492">
        <f>+Y120</f>
        <v>4737506.3598484956</v>
      </c>
      <c r="X121" s="476">
        <f>+W$31</f>
        <v>693293.61363636365</v>
      </c>
      <c r="Y121" s="476">
        <f t="shared" si="155"/>
        <v>4044212.7462121318</v>
      </c>
      <c r="Z121" s="493">
        <f>+W$28*Y121+X121</f>
        <v>1148466.8050167095</v>
      </c>
      <c r="AA121" s="492">
        <f>+AC120</f>
        <v>3118263.6268939371</v>
      </c>
      <c r="AB121" s="476">
        <f>+AA$31</f>
        <v>450833.29545454547</v>
      </c>
      <c r="AC121" s="476">
        <f t="shared" si="156"/>
        <v>2667430.3314393917</v>
      </c>
      <c r="AD121" s="493">
        <f>+AA$28*AC121+AB121</f>
        <v>751050.63142016344</v>
      </c>
      <c r="AE121" s="492">
        <f>+AG120</f>
        <v>29886.261363636429</v>
      </c>
      <c r="AF121" s="476">
        <f>+AE$31</f>
        <v>4597.886363636364</v>
      </c>
      <c r="AG121" s="476">
        <f t="shared" si="157"/>
        <v>25288.375000000065</v>
      </c>
      <c r="AH121" s="493">
        <f>+AE$28*AG121+AF121</f>
        <v>7444.0745035540695</v>
      </c>
      <c r="AI121" s="492">
        <f>+AK120</f>
        <v>2315121.5492424294</v>
      </c>
      <c r="AJ121" s="476">
        <f>+AI$31</f>
        <v>295547.43181818182</v>
      </c>
      <c r="AK121" s="476">
        <f t="shared" si="161"/>
        <v>2019574.1174242476</v>
      </c>
      <c r="AL121" s="493">
        <f>+AI$28*AK121+AJ121</f>
        <v>522849.0239804954</v>
      </c>
      <c r="AM121" s="492">
        <f>+AO120</f>
        <v>831501.86761363666</v>
      </c>
      <c r="AN121" s="476">
        <f>+AM$31</f>
        <v>110866.91568181818</v>
      </c>
      <c r="AO121" s="476">
        <f t="shared" si="158"/>
        <v>720634.9519318185</v>
      </c>
      <c r="AP121" s="493">
        <f>+AM$28*AO121+AN121</f>
        <v>191973.85329241998</v>
      </c>
      <c r="AQ121" s="492">
        <f>+AS120</f>
        <v>7013224.8388636373</v>
      </c>
      <c r="AR121" s="476">
        <f>+AQ$31</f>
        <v>904932.23727272719</v>
      </c>
      <c r="AS121" s="476">
        <f t="shared" si="159"/>
        <v>6108292.60159091</v>
      </c>
      <c r="AT121" s="493">
        <f>+AQ$28*AS121+AR121</f>
        <v>1592416.1091227401</v>
      </c>
      <c r="AU121" s="575"/>
      <c r="AV121" s="575"/>
      <c r="AW121" s="575"/>
      <c r="AX121" s="558"/>
      <c r="AY121" s="575"/>
      <c r="AZ121" s="575"/>
      <c r="BA121" s="575"/>
      <c r="BB121" s="558"/>
      <c r="BC121" s="575"/>
      <c r="BD121" s="575"/>
      <c r="BE121" s="575"/>
      <c r="BF121" s="558"/>
      <c r="BG121" s="575"/>
      <c r="BH121" s="575"/>
      <c r="BI121" s="575"/>
      <c r="BJ121" s="558"/>
      <c r="BK121" s="575"/>
      <c r="BL121" s="575"/>
      <c r="BM121" s="575"/>
      <c r="BN121" s="558"/>
      <c r="BO121" s="575"/>
      <c r="BP121" s="575"/>
      <c r="BQ121" s="575"/>
      <c r="BR121" s="558"/>
      <c r="BS121" s="492">
        <f>+BU120</f>
        <v>66487.090909091174</v>
      </c>
      <c r="BT121" s="476">
        <f>+BS$31</f>
        <v>8310.886363636364</v>
      </c>
      <c r="BU121" s="476">
        <f t="shared" si="160"/>
        <v>58176.204545454806</v>
      </c>
      <c r="BV121" s="493">
        <f>+BS$28*BU121+BT121</f>
        <v>14858.575703212337</v>
      </c>
      <c r="BW121" s="492">
        <f>+BY120</f>
        <v>4903150.4318181993</v>
      </c>
      <c r="BX121" s="476">
        <f>+BW$31</f>
        <v>576841.22727272729</v>
      </c>
      <c r="BY121" s="476">
        <f t="shared" si="162"/>
        <v>4326309.2045454718</v>
      </c>
      <c r="BZ121" s="493">
        <f>+BW$28*BY121+BX121</f>
        <v>1063764.1690431689</v>
      </c>
      <c r="CA121" s="492">
        <f>+CC120</f>
        <v>467224.48000000161</v>
      </c>
      <c r="CB121" s="476">
        <f>+CA$31</f>
        <v>54433.919999999998</v>
      </c>
      <c r="CC121" s="476">
        <f t="shared" si="163"/>
        <v>412790.56000000163</v>
      </c>
      <c r="CD121" s="493">
        <f>+CA$28*CC121+CB121</f>
        <v>100893.19609591323</v>
      </c>
      <c r="CE121" s="492">
        <f>+CG120</f>
        <v>38981.490000000209</v>
      </c>
      <c r="CF121" s="476">
        <f>+CE$31</f>
        <v>4725.0290909090909</v>
      </c>
      <c r="CG121" s="476">
        <f t="shared" si="164"/>
        <v>34256.460909091118</v>
      </c>
      <c r="CH121" s="493">
        <f>+CE$28*CG121+CF121</f>
        <v>8580.5687511288324</v>
      </c>
      <c r="CI121" s="492">
        <f>+CK120</f>
        <v>113324.99999999968</v>
      </c>
      <c r="CJ121" s="476">
        <f>+CI$31</f>
        <v>12362.727272727272</v>
      </c>
      <c r="CK121" s="476">
        <f t="shared" si="165"/>
        <v>100962.27272727242</v>
      </c>
      <c r="CL121" s="493">
        <f>+CI$28*CK121+CJ121</f>
        <v>23725.957342492482</v>
      </c>
      <c r="CM121" s="492">
        <f>+CO120</f>
        <v>6650760.1718750112</v>
      </c>
      <c r="CN121" s="476">
        <f>+CM$31</f>
        <v>483691.64886363636</v>
      </c>
      <c r="CO121" s="476">
        <f t="shared" si="166"/>
        <v>6167068.5230113752</v>
      </c>
      <c r="CP121" s="493">
        <f>+CM$28*CO121+CN121</f>
        <v>1177790.7077495763</v>
      </c>
      <c r="CQ121" s="492">
        <f>+CS120</f>
        <v>27743869.50937501</v>
      </c>
      <c r="CR121" s="476">
        <f>+CQ$31</f>
        <v>2017735.9643181816</v>
      </c>
      <c r="CS121" s="476">
        <f t="shared" si="167"/>
        <v>25726133.545056827</v>
      </c>
      <c r="CT121" s="493">
        <f>+CQ$28*CS121+CR121</f>
        <v>4913193.5088175647</v>
      </c>
      <c r="CU121" s="492">
        <f>+CW120</f>
        <v>9466735.2150000203</v>
      </c>
      <c r="CV121" s="476">
        <f>+CU$31</f>
        <v>676195.37250000006</v>
      </c>
      <c r="CW121" s="476">
        <f t="shared" si="168"/>
        <v>8790539.8425000198</v>
      </c>
      <c r="CX121" s="493">
        <f>+CU$28*CW121+CV121</f>
        <v>1665564.2126566945</v>
      </c>
      <c r="CY121" s="492">
        <f>+DA120</f>
        <v>10638.996022727279</v>
      </c>
      <c r="CZ121" s="476">
        <f>+CY$31</f>
        <v>733.72386363636497</v>
      </c>
      <c r="DA121" s="476">
        <f t="shared" si="40"/>
        <v>9905.2721590909132</v>
      </c>
      <c r="DB121" s="493">
        <f>+CY$28*DA121+CZ121</f>
        <v>1848.5550120142868</v>
      </c>
      <c r="DC121" s="492">
        <f>+DE120</f>
        <v>634562.08636363829</v>
      </c>
      <c r="DD121" s="476">
        <f>+DC$31</f>
        <v>44530.672727272722</v>
      </c>
      <c r="DE121" s="476">
        <f t="shared" si="41"/>
        <v>590031.41363636556</v>
      </c>
      <c r="DF121" s="493">
        <f>+DC$28*DE121+DD121</f>
        <v>110938.27747335457</v>
      </c>
      <c r="DG121" s="492">
        <f>+DI120</f>
        <v>357272.37761363544</v>
      </c>
      <c r="DH121" s="476">
        <f>+DG$31</f>
        <v>24639.474318181816</v>
      </c>
      <c r="DI121" s="476">
        <f t="shared" si="42"/>
        <v>332632.90329545364</v>
      </c>
      <c r="DJ121" s="493">
        <f>+DG$28*DI121+DH121</f>
        <v>62077.064685530873</v>
      </c>
      <c r="DK121" s="492">
        <f>+DM120</f>
        <v>7786833.1255681887</v>
      </c>
      <c r="DL121" s="476">
        <f>+DK$31</f>
        <v>549658.80886363634</v>
      </c>
      <c r="DM121" s="476">
        <f t="shared" si="43"/>
        <v>7237174.3167045526</v>
      </c>
      <c r="DN121" s="493">
        <f>+DK$28*DM121+DL121</f>
        <v>1364197.4934062955</v>
      </c>
      <c r="DO121" s="492">
        <f>+DQ120</f>
        <v>297156.00859848456</v>
      </c>
      <c r="DP121" s="476">
        <f>+DO$31</f>
        <v>19592.703863636354</v>
      </c>
      <c r="DQ121" s="476">
        <f t="shared" si="148"/>
        <v>277563.30473484821</v>
      </c>
      <c r="DR121" s="493">
        <f>+DO$28*DQ121+DP121</f>
        <v>50832.251126467076</v>
      </c>
      <c r="DS121" s="492">
        <f>+DU120</f>
        <v>128584.16727272705</v>
      </c>
      <c r="DT121" s="476">
        <f>+DS$31</f>
        <v>8295.7527272726966</v>
      </c>
      <c r="DU121" s="476">
        <f t="shared" si="58"/>
        <v>120288.41454545435</v>
      </c>
      <c r="DV121" s="493">
        <f>+DS$28*DU121+DT121</f>
        <v>21834.125946144042</v>
      </c>
      <c r="DW121" s="492">
        <f>+DY120</f>
        <v>18631.891988636315</v>
      </c>
      <c r="DX121" s="476">
        <f>+DW$31</f>
        <v>1221.7634090909089</v>
      </c>
      <c r="DY121" s="476">
        <f t="shared" si="59"/>
        <v>17410.128579545406</v>
      </c>
      <c r="DZ121" s="493">
        <f>+DW$28*DY121+DX121</f>
        <v>3181.2606673190194</v>
      </c>
      <c r="EA121" s="492">
        <f>+EC120</f>
        <v>-113331.46698863717</v>
      </c>
      <c r="EB121" s="476">
        <f>+EA$31</f>
        <v>-7120.3015909091364</v>
      </c>
      <c r="EC121" s="476">
        <f t="shared" si="60"/>
        <v>-106211.16539772804</v>
      </c>
      <c r="ED121" s="493">
        <f>+EA$28*EC121+EB121</f>
        <v>-19074.290697834771</v>
      </c>
      <c r="EE121" s="576">
        <f>+EG120</f>
        <v>3352628.9450000091</v>
      </c>
      <c r="EF121" s="580">
        <f>+EE$31</f>
        <v>192495.44181818186</v>
      </c>
      <c r="EG121" s="580">
        <f t="shared" si="69"/>
        <v>3160133.5031818273</v>
      </c>
      <c r="EH121" s="493">
        <f>+EE$28*EG121+EF121</f>
        <v>548166.15997673036</v>
      </c>
      <c r="EI121" s="576">
        <f>+EK120</f>
        <v>137248.92837121192</v>
      </c>
      <c r="EJ121" s="580">
        <f>+EI$31</f>
        <v>7696.2015909090906</v>
      </c>
      <c r="EK121" s="580">
        <f t="shared" si="70"/>
        <v>129552.72678030284</v>
      </c>
      <c r="EL121" s="493">
        <f>+EI$28*EK121+EJ121</f>
        <v>22277.266386733099</v>
      </c>
      <c r="EM121" s="576">
        <f>+EO120</f>
        <v>4702976.259545451</v>
      </c>
      <c r="EN121" s="580">
        <f>+EM$31</f>
        <v>261276.45886363636</v>
      </c>
      <c r="EO121" s="580">
        <f t="shared" si="71"/>
        <v>4441699.8006818146</v>
      </c>
      <c r="EP121" s="493">
        <f>+EM$28*EO121+EN121</f>
        <v>761186.52796753822</v>
      </c>
      <c r="EQ121" s="576">
        <f>+ES120</f>
        <v>9260730.109318167</v>
      </c>
      <c r="ER121" s="580">
        <f>+EQ$31</f>
        <v>500580.00590909086</v>
      </c>
      <c r="ES121" s="580">
        <f t="shared" si="94"/>
        <v>8760150.1034090761</v>
      </c>
      <c r="ET121" s="493">
        <f>+EQ$28*ES121+ER121</f>
        <v>1486528.5031226017</v>
      </c>
      <c r="EU121" s="576">
        <f>+EW120</f>
        <v>11966089.995909087</v>
      </c>
      <c r="EV121" s="580">
        <f>+EU$31</f>
        <v>646815.67545454553</v>
      </c>
      <c r="EW121" s="580">
        <f t="shared" si="95"/>
        <v>11319274.320454542</v>
      </c>
      <c r="EX121" s="493">
        <f>+EU$28*EW121+EV121</f>
        <v>1920791.7345470211</v>
      </c>
      <c r="EY121" s="582">
        <f t="shared" si="103"/>
        <v>21093623.801657546</v>
      </c>
      <c r="EZ121" s="557"/>
      <c r="FA121" s="578">
        <f>+EY121</f>
        <v>21093623.801657546</v>
      </c>
      <c r="FD121" s="492"/>
      <c r="FE121" s="476"/>
      <c r="FF121" s="476"/>
      <c r="FG121" s="493"/>
      <c r="FH121" s="492"/>
      <c r="FI121" s="476"/>
      <c r="FJ121" s="476"/>
      <c r="FK121" s="493"/>
      <c r="FL121" s="492"/>
      <c r="FM121" s="476"/>
      <c r="FN121" s="476"/>
      <c r="FO121" s="493"/>
      <c r="FP121" s="492"/>
      <c r="FQ121" s="476"/>
      <c r="FR121" s="476"/>
      <c r="FS121" s="493"/>
      <c r="FT121" s="492"/>
      <c r="FU121" s="476"/>
      <c r="FV121" s="476"/>
      <c r="FW121" s="493"/>
      <c r="FX121" s="492"/>
      <c r="FY121" s="476"/>
      <c r="FZ121" s="476"/>
      <c r="GA121" s="493"/>
      <c r="GB121" s="492"/>
      <c r="GC121" s="476"/>
      <c r="GD121" s="476"/>
      <c r="GE121" s="493"/>
      <c r="GF121" s="492"/>
      <c r="GG121" s="476"/>
      <c r="GH121" s="476"/>
      <c r="GI121" s="493"/>
      <c r="GJ121" s="492"/>
      <c r="GK121" s="476"/>
      <c r="GL121" s="476"/>
      <c r="GM121" s="493"/>
      <c r="GN121" s="492"/>
      <c r="GO121" s="476"/>
      <c r="GP121" s="476"/>
      <c r="GQ121" s="493"/>
      <c r="GR121" s="492"/>
      <c r="GS121" s="476"/>
      <c r="GT121" s="476"/>
      <c r="GU121" s="493"/>
      <c r="GV121" s="492"/>
      <c r="GW121" s="476"/>
      <c r="GX121" s="476"/>
      <c r="GY121" s="493"/>
      <c r="GZ121" s="492"/>
      <c r="HA121" s="476"/>
      <c r="HB121" s="476"/>
      <c r="HC121" s="493"/>
      <c r="HD121" s="576"/>
      <c r="HE121" s="580"/>
      <c r="HF121" s="580"/>
      <c r="HG121" s="918"/>
      <c r="HH121" s="919"/>
      <c r="HI121" s="925"/>
      <c r="HJ121" s="925"/>
      <c r="HK121" s="918"/>
      <c r="HL121" s="919"/>
      <c r="HM121" s="925"/>
      <c r="HN121" s="925"/>
      <c r="HO121" s="918"/>
      <c r="HP121" s="919"/>
      <c r="HQ121" s="925"/>
      <c r="HR121" s="925"/>
      <c r="HS121" s="918"/>
      <c r="HT121" s="919"/>
      <c r="HU121" s="925"/>
      <c r="HV121" s="925"/>
      <c r="HW121" s="918"/>
      <c r="HY121" s="492"/>
      <c r="HZ121" s="476"/>
      <c r="IA121" s="476"/>
      <c r="IB121" s="493"/>
      <c r="IC121" s="492"/>
      <c r="ID121" s="476"/>
      <c r="IE121" s="476"/>
      <c r="IF121" s="493"/>
      <c r="IG121" s="492"/>
      <c r="IH121" s="476"/>
      <c r="II121" s="476"/>
      <c r="IJ121" s="493"/>
    </row>
    <row r="122" spans="1:244">
      <c r="A122" s="554" t="s">
        <v>23</v>
      </c>
      <c r="B122" s="574">
        <v>2047</v>
      </c>
      <c r="C122" s="575">
        <f>+C121</f>
        <v>2563303.9085227177</v>
      </c>
      <c r="D122" s="575">
        <f>+D121</f>
        <v>445791.98409090913</v>
      </c>
      <c r="E122" s="575">
        <f t="shared" si="150"/>
        <v>2117511.9244318083</v>
      </c>
      <c r="F122" s="558">
        <f>+C$29*E122+D122</f>
        <v>697918.91044519038</v>
      </c>
      <c r="G122" s="575">
        <f>+G121</f>
        <v>637124.12249999819</v>
      </c>
      <c r="H122" s="575">
        <f>+H121</f>
        <v>115840.74954545456</v>
      </c>
      <c r="I122" s="575">
        <f t="shared" si="151"/>
        <v>521283.37295454362</v>
      </c>
      <c r="J122" s="558">
        <f>+G$29*I122+H122</f>
        <v>177908.67608990034</v>
      </c>
      <c r="K122" s="576">
        <f>+K121</f>
        <v>1450743.8653977239</v>
      </c>
      <c r="L122" s="575">
        <f>+L121</f>
        <v>305419.76113636367</v>
      </c>
      <c r="M122" s="575">
        <f t="shared" si="152"/>
        <v>1145324.1042613601</v>
      </c>
      <c r="N122" s="558">
        <f>+K$29*M122+L122</f>
        <v>441790.67964458972</v>
      </c>
      <c r="O122" s="576">
        <f>+O121</f>
        <v>815328.17424242082</v>
      </c>
      <c r="P122" s="575">
        <f>+P121</f>
        <v>119316.31818181818</v>
      </c>
      <c r="Q122" s="575">
        <f t="shared" si="153"/>
        <v>696011.8560606027</v>
      </c>
      <c r="R122" s="558">
        <f>+O$29*Q122+P122</f>
        <v>202188.73460128444</v>
      </c>
      <c r="S122" s="492">
        <f>+S121</f>
        <v>301297.81151514838</v>
      </c>
      <c r="T122" s="476">
        <f>+T121</f>
        <v>58315.705454545445</v>
      </c>
      <c r="U122" s="476">
        <f t="shared" si="154"/>
        <v>242982.10606060294</v>
      </c>
      <c r="V122" s="493">
        <f>+S$29*U122+T122</f>
        <v>87246.986007588042</v>
      </c>
      <c r="W122" s="492">
        <f>+W121</f>
        <v>4737506.3598484956</v>
      </c>
      <c r="X122" s="476">
        <f>+X121</f>
        <v>693293.61363636365</v>
      </c>
      <c r="Y122" s="476">
        <f t="shared" si="155"/>
        <v>4044212.7462121318</v>
      </c>
      <c r="Z122" s="493">
        <f>+W$29*Y122+X122</f>
        <v>1174828.0585953337</v>
      </c>
      <c r="AA122" s="492">
        <f>+AA121</f>
        <v>3118263.6268939371</v>
      </c>
      <c r="AB122" s="476">
        <f>+AB121</f>
        <v>450833.29545454547</v>
      </c>
      <c r="AC122" s="476">
        <f t="shared" si="156"/>
        <v>2667430.3314393917</v>
      </c>
      <c r="AD122" s="493">
        <f>+AA$29*AC122+AB122</f>
        <v>768437.65128855361</v>
      </c>
      <c r="AE122" s="492">
        <f>+AE121</f>
        <v>29886.261363636429</v>
      </c>
      <c r="AF122" s="476">
        <f>+AF121</f>
        <v>4597.886363636364</v>
      </c>
      <c r="AG122" s="476">
        <f t="shared" si="157"/>
        <v>25288.375000000065</v>
      </c>
      <c r="AH122" s="493">
        <f>+AE$29*AG122+AF122</f>
        <v>7608.9108531231477</v>
      </c>
      <c r="AI122" s="492">
        <f>+AI121</f>
        <v>2315121.5492424294</v>
      </c>
      <c r="AJ122" s="476">
        <f>+AJ121</f>
        <v>295547.43181818182</v>
      </c>
      <c r="AK122" s="476">
        <f t="shared" si="161"/>
        <v>2019574.1174242476</v>
      </c>
      <c r="AL122" s="493">
        <f>+AI$29*AK122+AJ122</f>
        <v>536013.14485423302</v>
      </c>
      <c r="AM122" s="492">
        <f>+AM121</f>
        <v>831501.86761363666</v>
      </c>
      <c r="AN122" s="476">
        <f>+AN121</f>
        <v>110866.91568181818</v>
      </c>
      <c r="AO122" s="476">
        <f t="shared" si="158"/>
        <v>720634.9519318185</v>
      </c>
      <c r="AP122" s="493">
        <f>+AM$29*AO122+AN122</f>
        <v>196671.14344444947</v>
      </c>
      <c r="AQ122" s="492">
        <f>+AQ121</f>
        <v>7013224.8388636373</v>
      </c>
      <c r="AR122" s="476">
        <f>+AR121</f>
        <v>904932.23727272719</v>
      </c>
      <c r="AS122" s="476">
        <f t="shared" si="159"/>
        <v>6108292.60159091</v>
      </c>
      <c r="AT122" s="493">
        <f>+AQ$29*AS122+AR122</f>
        <v>1632231.5838041324</v>
      </c>
      <c r="AU122" s="575"/>
      <c r="AV122" s="575"/>
      <c r="AW122" s="575"/>
      <c r="AX122" s="558"/>
      <c r="AY122" s="575"/>
      <c r="AZ122" s="575"/>
      <c r="BA122" s="575"/>
      <c r="BB122" s="558"/>
      <c r="BC122" s="575"/>
      <c r="BD122" s="575"/>
      <c r="BE122" s="575"/>
      <c r="BF122" s="558"/>
      <c r="BG122" s="575"/>
      <c r="BH122" s="575"/>
      <c r="BI122" s="575"/>
      <c r="BJ122" s="558"/>
      <c r="BK122" s="575"/>
      <c r="BL122" s="575"/>
      <c r="BM122" s="575"/>
      <c r="BN122" s="558"/>
      <c r="BO122" s="575"/>
      <c r="BP122" s="575"/>
      <c r="BQ122" s="575"/>
      <c r="BR122" s="558"/>
      <c r="BS122" s="492">
        <f>+BS121</f>
        <v>66487.090909091174</v>
      </c>
      <c r="BT122" s="476">
        <f>+BT121</f>
        <v>8310.886363636364</v>
      </c>
      <c r="BU122" s="476">
        <f t="shared" si="160"/>
        <v>58176.204545454806</v>
      </c>
      <c r="BV122" s="493">
        <f>+BS$29*BU122+BT122</f>
        <v>15237.783666913318</v>
      </c>
      <c r="BW122" s="492">
        <f>+BW121</f>
        <v>4903150.4318181993</v>
      </c>
      <c r="BX122" s="476">
        <f>+BX121</f>
        <v>576841.22727272729</v>
      </c>
      <c r="BY122" s="476">
        <f t="shared" si="162"/>
        <v>4326309.2045454718</v>
      </c>
      <c r="BZ122" s="493">
        <f>+BW$29*BY122+BX122</f>
        <v>1063764.1690431689</v>
      </c>
      <c r="CA122" s="492">
        <f>+CA121</f>
        <v>467224.48000000161</v>
      </c>
      <c r="CB122" s="476">
        <f>+CB121</f>
        <v>54433.919999999998</v>
      </c>
      <c r="CC122" s="476">
        <f t="shared" si="163"/>
        <v>412790.56000000163</v>
      </c>
      <c r="CD122" s="493">
        <f>+CA$29*CC122+CB122</f>
        <v>103583.87468032111</v>
      </c>
      <c r="CE122" s="492">
        <f>+CE121</f>
        <v>38981.490000000209</v>
      </c>
      <c r="CF122" s="476">
        <f>+CF121</f>
        <v>4725.0290909090909</v>
      </c>
      <c r="CG122" s="476">
        <f t="shared" si="164"/>
        <v>34256.460909091118</v>
      </c>
      <c r="CH122" s="493">
        <f>+CE$29*CG122+CF122</f>
        <v>8803.861468253217</v>
      </c>
      <c r="CI122" s="492">
        <f>+CI121</f>
        <v>113324.99999999968</v>
      </c>
      <c r="CJ122" s="476">
        <f>+CJ121</f>
        <v>12362.727272727272</v>
      </c>
      <c r="CK122" s="476">
        <f t="shared" si="165"/>
        <v>100962.27272727242</v>
      </c>
      <c r="CL122" s="493">
        <f>+CI$29*CK122+CJ122</f>
        <v>23725.957342492482</v>
      </c>
      <c r="CM122" s="492">
        <f>+CM121</f>
        <v>6650760.1718750112</v>
      </c>
      <c r="CN122" s="476">
        <f>+CN121</f>
        <v>483691.64886363636</v>
      </c>
      <c r="CO122" s="476">
        <f t="shared" si="166"/>
        <v>6167068.5230113752</v>
      </c>
      <c r="CP122" s="493">
        <f>+CM$29*CO122+CN122</f>
        <v>1177790.7077495763</v>
      </c>
      <c r="CQ122" s="492">
        <f>+CQ121</f>
        <v>27743869.50937501</v>
      </c>
      <c r="CR122" s="476">
        <f>+CR121</f>
        <v>2017735.9643181816</v>
      </c>
      <c r="CS122" s="476">
        <f t="shared" si="167"/>
        <v>25726133.545056827</v>
      </c>
      <c r="CT122" s="493">
        <f>+CQ$29*CS122+CR122</f>
        <v>4913193.5088175647</v>
      </c>
      <c r="CU122" s="492">
        <f>+CU121</f>
        <v>9466735.2150000203</v>
      </c>
      <c r="CV122" s="476">
        <f>+CV121</f>
        <v>676195.37250000006</v>
      </c>
      <c r="CW122" s="476">
        <f t="shared" si="168"/>
        <v>8790539.8425000198</v>
      </c>
      <c r="CX122" s="493">
        <f>+CU$29*CW122+CV122</f>
        <v>1665564.2126566945</v>
      </c>
      <c r="CY122" s="492">
        <f>+CY121</f>
        <v>10638.996022727279</v>
      </c>
      <c r="CZ122" s="476">
        <f>+CZ121</f>
        <v>733.72386363636497</v>
      </c>
      <c r="DA122" s="476">
        <f t="shared" si="40"/>
        <v>9905.2721590909132</v>
      </c>
      <c r="DB122" s="493">
        <f>+CY$29*DA122+CZ122</f>
        <v>1848.5550120142868</v>
      </c>
      <c r="DC122" s="492">
        <f>+DC121</f>
        <v>634562.08636363829</v>
      </c>
      <c r="DD122" s="476">
        <f>+DD121</f>
        <v>44530.672727272722</v>
      </c>
      <c r="DE122" s="476">
        <f t="shared" si="41"/>
        <v>590031.41363636556</v>
      </c>
      <c r="DF122" s="493">
        <f>+DC$29*DE122+DD122</f>
        <v>110938.27747335457</v>
      </c>
      <c r="DG122" s="492">
        <f>+DG121</f>
        <v>357272.37761363544</v>
      </c>
      <c r="DH122" s="476">
        <f>+DH121</f>
        <v>24639.474318181816</v>
      </c>
      <c r="DI122" s="476">
        <f t="shared" si="42"/>
        <v>332632.90329545364</v>
      </c>
      <c r="DJ122" s="493">
        <f>+DG$29*DI122+DH122</f>
        <v>62077.064685530873</v>
      </c>
      <c r="DK122" s="492">
        <f>+DK121</f>
        <v>7786833.1255681887</v>
      </c>
      <c r="DL122" s="476">
        <f>+DL121</f>
        <v>549658.80886363634</v>
      </c>
      <c r="DM122" s="476">
        <f t="shared" si="43"/>
        <v>7237174.3167045526</v>
      </c>
      <c r="DN122" s="493">
        <f>+DK$29*DM122+DL122</f>
        <v>1364197.4934062955</v>
      </c>
      <c r="DO122" s="492">
        <f>+DO121</f>
        <v>297156.00859848456</v>
      </c>
      <c r="DP122" s="476">
        <f>+DP121</f>
        <v>19592.703863636354</v>
      </c>
      <c r="DQ122" s="476">
        <f t="shared" si="148"/>
        <v>277563.30473484821</v>
      </c>
      <c r="DR122" s="493">
        <f>+DO$29*DQ122+DP122</f>
        <v>50832.251126467076</v>
      </c>
      <c r="DS122" s="492">
        <f>+DS121</f>
        <v>128584.16727272705</v>
      </c>
      <c r="DT122" s="476">
        <f>+DT121</f>
        <v>8295.7527272726966</v>
      </c>
      <c r="DU122" s="476">
        <f t="shared" si="58"/>
        <v>120288.41454545435</v>
      </c>
      <c r="DV122" s="493">
        <f>+DS$29*DU122+DT122</f>
        <v>21834.125946144042</v>
      </c>
      <c r="DW122" s="492">
        <f>+DW121</f>
        <v>18631.891988636315</v>
      </c>
      <c r="DX122" s="476">
        <f>+DX121</f>
        <v>1221.7634090909089</v>
      </c>
      <c r="DY122" s="476">
        <f t="shared" si="59"/>
        <v>17410.128579545406</v>
      </c>
      <c r="DZ122" s="493">
        <f>+DW$29*DY122+DX122</f>
        <v>3181.2606673190194</v>
      </c>
      <c r="EA122" s="492">
        <f>+EA121</f>
        <v>-113331.46698863717</v>
      </c>
      <c r="EB122" s="476">
        <f>+EB121</f>
        <v>-7120.3015909091364</v>
      </c>
      <c r="EC122" s="476">
        <f t="shared" si="60"/>
        <v>-106211.16539772804</v>
      </c>
      <c r="ED122" s="493">
        <f>+EA$29*EC122+EB122</f>
        <v>-19074.290697834771</v>
      </c>
      <c r="EE122" s="576">
        <f>+EE121</f>
        <v>3352628.9450000091</v>
      </c>
      <c r="EF122" s="580">
        <f>+EF121</f>
        <v>192495.44181818186</v>
      </c>
      <c r="EG122" s="580">
        <f t="shared" si="69"/>
        <v>3160133.5031818273</v>
      </c>
      <c r="EH122" s="493">
        <f>+EE$29*EG122+EF122</f>
        <v>548166.15997673036</v>
      </c>
      <c r="EI122" s="576">
        <f>+EI121</f>
        <v>137248.92837121192</v>
      </c>
      <c r="EJ122" s="580">
        <f>+EJ121</f>
        <v>7696.2015909090906</v>
      </c>
      <c r="EK122" s="580">
        <f t="shared" si="70"/>
        <v>129552.72678030284</v>
      </c>
      <c r="EL122" s="493">
        <f>+EI$29*EK122+EJ122</f>
        <v>22277.266386733099</v>
      </c>
      <c r="EM122" s="576">
        <f>+EM121</f>
        <v>4702976.259545451</v>
      </c>
      <c r="EN122" s="580">
        <f>+EN121</f>
        <v>261276.45886363636</v>
      </c>
      <c r="EO122" s="580">
        <f t="shared" si="71"/>
        <v>4441699.8006818146</v>
      </c>
      <c r="EP122" s="493">
        <f>+EM$29*EO122+EN122</f>
        <v>761186.52796753822</v>
      </c>
      <c r="EQ122" s="576">
        <f>+EQ121</f>
        <v>9260730.109318167</v>
      </c>
      <c r="ER122" s="580">
        <f>+ER121</f>
        <v>500580.00590909086</v>
      </c>
      <c r="ES122" s="580">
        <f t="shared" si="94"/>
        <v>8760150.1034090761</v>
      </c>
      <c r="ET122" s="493">
        <f>+EQ$29*ES122+ER122</f>
        <v>1486528.5031226017</v>
      </c>
      <c r="EU122" s="576">
        <f>+EU121</f>
        <v>11966089.995909087</v>
      </c>
      <c r="EV122" s="580">
        <f>+EV121</f>
        <v>646815.67545454553</v>
      </c>
      <c r="EW122" s="580">
        <f t="shared" si="95"/>
        <v>11319274.320454542</v>
      </c>
      <c r="EX122" s="493">
        <f>+EU$29*EW122+EV122</f>
        <v>1920791.7345470211</v>
      </c>
      <c r="EY122" s="582">
        <f t="shared" si="103"/>
        <v>21229293.48467328</v>
      </c>
      <c r="EZ122" s="579">
        <f>+EY122</f>
        <v>21229293.48467328</v>
      </c>
      <c r="FA122" s="553"/>
      <c r="FD122" s="492"/>
      <c r="FE122" s="476"/>
      <c r="FF122" s="476"/>
      <c r="FG122" s="493"/>
      <c r="FH122" s="492"/>
      <c r="FI122" s="476"/>
      <c r="FJ122" s="476"/>
      <c r="FK122" s="493"/>
      <c r="FL122" s="492"/>
      <c r="FM122" s="476"/>
      <c r="FN122" s="476"/>
      <c r="FO122" s="493"/>
      <c r="FP122" s="492"/>
      <c r="FQ122" s="476"/>
      <c r="FR122" s="476"/>
      <c r="FS122" s="493"/>
      <c r="FT122" s="492"/>
      <c r="FU122" s="476"/>
      <c r="FV122" s="476"/>
      <c r="FW122" s="493"/>
      <c r="FX122" s="492"/>
      <c r="FY122" s="476"/>
      <c r="FZ122" s="476"/>
      <c r="GA122" s="493"/>
      <c r="GB122" s="492"/>
      <c r="GC122" s="476"/>
      <c r="GD122" s="476"/>
      <c r="GE122" s="493"/>
      <c r="GF122" s="492"/>
      <c r="GG122" s="476"/>
      <c r="GH122" s="476"/>
      <c r="GI122" s="493"/>
      <c r="GJ122" s="492"/>
      <c r="GK122" s="476"/>
      <c r="GL122" s="476"/>
      <c r="GM122" s="493"/>
      <c r="GN122" s="492"/>
      <c r="GO122" s="476"/>
      <c r="GP122" s="476"/>
      <c r="GQ122" s="493"/>
      <c r="GR122" s="492"/>
      <c r="GS122" s="476"/>
      <c r="GT122" s="476"/>
      <c r="GU122" s="493"/>
      <c r="GV122" s="492"/>
      <c r="GW122" s="476"/>
      <c r="GX122" s="476"/>
      <c r="GY122" s="493"/>
      <c r="GZ122" s="492"/>
      <c r="HA122" s="476"/>
      <c r="HB122" s="476"/>
      <c r="HC122" s="493"/>
      <c r="HD122" s="576"/>
      <c r="HE122" s="580"/>
      <c r="HF122" s="580"/>
      <c r="HG122" s="918"/>
      <c r="HH122" s="919"/>
      <c r="HI122" s="925"/>
      <c r="HJ122" s="925"/>
      <c r="HK122" s="918"/>
      <c r="HL122" s="919"/>
      <c r="HM122" s="925"/>
      <c r="HN122" s="925"/>
      <c r="HO122" s="918"/>
      <c r="HP122" s="919"/>
      <c r="HQ122" s="925"/>
      <c r="HR122" s="925"/>
      <c r="HS122" s="918"/>
      <c r="HT122" s="919"/>
      <c r="HU122" s="925"/>
      <c r="HV122" s="925"/>
      <c r="HW122" s="918"/>
      <c r="HY122" s="492"/>
      <c r="HZ122" s="476"/>
      <c r="IA122" s="476"/>
      <c r="IB122" s="493"/>
      <c r="IC122" s="492"/>
      <c r="ID122" s="476"/>
      <c r="IE122" s="476"/>
      <c r="IF122" s="493"/>
      <c r="IG122" s="492"/>
      <c r="IH122" s="476"/>
      <c r="II122" s="476"/>
      <c r="IJ122" s="493"/>
    </row>
    <row r="123" spans="1:244">
      <c r="A123" s="554" t="s">
        <v>24</v>
      </c>
      <c r="B123" s="574">
        <v>2048</v>
      </c>
      <c r="C123" s="575">
        <f>+E122</f>
        <v>2117511.9244318083</v>
      </c>
      <c r="D123" s="575">
        <f>+C$31</f>
        <v>445791.98409090913</v>
      </c>
      <c r="E123" s="575">
        <f t="shared" si="150"/>
        <v>1671719.9403408992</v>
      </c>
      <c r="F123" s="558">
        <f>+C$28*E123+D123</f>
        <v>633942.84263607813</v>
      </c>
      <c r="G123" s="575">
        <f>+I122</f>
        <v>521283.37295454362</v>
      </c>
      <c r="H123" s="575">
        <f>+G$31</f>
        <v>115840.74954545456</v>
      </c>
      <c r="I123" s="575">
        <f t="shared" si="151"/>
        <v>405442.62340908905</v>
      </c>
      <c r="J123" s="558">
        <f>+G$28*I123+H123</f>
        <v>161473.02074374497</v>
      </c>
      <c r="K123" s="576">
        <f>+M122</f>
        <v>1145324.1042613601</v>
      </c>
      <c r="L123" s="575">
        <f>+K$31</f>
        <v>305419.76113636367</v>
      </c>
      <c r="M123" s="575">
        <f t="shared" si="152"/>
        <v>839904.34312499641</v>
      </c>
      <c r="N123" s="558">
        <f>+K$28*M123+L123</f>
        <v>399950.38163165963</v>
      </c>
      <c r="O123" s="576">
        <f>+Q122</f>
        <v>696011.8560606027</v>
      </c>
      <c r="P123" s="575">
        <f>+O$31</f>
        <v>119316.31818181818</v>
      </c>
      <c r="Q123" s="575">
        <f t="shared" si="153"/>
        <v>576695.53787878458</v>
      </c>
      <c r="R123" s="558">
        <f>+O$28*Q123+P123</f>
        <v>184222.97984964203</v>
      </c>
      <c r="S123" s="492">
        <f>+U122</f>
        <v>242982.10606060294</v>
      </c>
      <c r="T123" s="476">
        <f>+S$31</f>
        <v>58315.705454545445</v>
      </c>
      <c r="U123" s="476">
        <f t="shared" si="154"/>
        <v>184666.40060605749</v>
      </c>
      <c r="V123" s="493">
        <f>+S$28*U123+T123</f>
        <v>79099.773993795243</v>
      </c>
      <c r="W123" s="492">
        <f>+Y122</f>
        <v>4044212.7462121318</v>
      </c>
      <c r="X123" s="476">
        <f>+W$31</f>
        <v>693293.61363636365</v>
      </c>
      <c r="Y123" s="476">
        <f t="shared" si="155"/>
        <v>3350919.132575768</v>
      </c>
      <c r="Z123" s="493">
        <f>+W$28*Y123+X123</f>
        <v>1070437.1150657933</v>
      </c>
      <c r="AA123" s="492">
        <f>+AC122</f>
        <v>2667430.3314393917</v>
      </c>
      <c r="AB123" s="476">
        <f>+AA$31</f>
        <v>450833.29545454547</v>
      </c>
      <c r="AC123" s="476">
        <f t="shared" si="156"/>
        <v>2216597.0359848463</v>
      </c>
      <c r="AD123" s="493">
        <f>+AA$28*AC123+AB123</f>
        <v>700309.67322879122</v>
      </c>
      <c r="AE123" s="492">
        <f>+AG122</f>
        <v>25288.375000000065</v>
      </c>
      <c r="AF123" s="476">
        <f>+AE$31</f>
        <v>4597.886363636364</v>
      </c>
      <c r="AG123" s="476">
        <f t="shared" si="157"/>
        <v>20690.488636363702</v>
      </c>
      <c r="AH123" s="493">
        <f>+AE$28*AG123+AF123</f>
        <v>6926.5857508417612</v>
      </c>
      <c r="AI123" s="492">
        <f>+AK122</f>
        <v>2019574.1174242476</v>
      </c>
      <c r="AJ123" s="476">
        <f>+AI$31</f>
        <v>295547.43181818182</v>
      </c>
      <c r="AK123" s="476">
        <f t="shared" si="161"/>
        <v>1724026.6856060657</v>
      </c>
      <c r="AL123" s="493">
        <f>+AI$28*AK123+AJ123</f>
        <v>489585.37634698616</v>
      </c>
      <c r="AM123" s="492">
        <f>+AO122</f>
        <v>720634.9519318185</v>
      </c>
      <c r="AN123" s="476">
        <f>+AM$31</f>
        <v>110866.91568181818</v>
      </c>
      <c r="AO123" s="476">
        <f t="shared" si="158"/>
        <v>609768.03625000035</v>
      </c>
      <c r="AP123" s="493">
        <f>+AM$28*AO123+AN123</f>
        <v>179495.86289078894</v>
      </c>
      <c r="AQ123" s="492">
        <f>+AS122</f>
        <v>6108292.60159091</v>
      </c>
      <c r="AR123" s="476">
        <f>+AQ$31</f>
        <v>904932.23727272719</v>
      </c>
      <c r="AS123" s="476">
        <f t="shared" si="159"/>
        <v>5203360.3643181827</v>
      </c>
      <c r="AT123" s="493">
        <f>+AQ$28*AS123+AR123</f>
        <v>1490566.646626442</v>
      </c>
      <c r="AU123" s="575"/>
      <c r="AV123" s="575"/>
      <c r="AW123" s="575"/>
      <c r="AX123" s="558"/>
      <c r="AY123" s="575"/>
      <c r="AZ123" s="575"/>
      <c r="BA123" s="575"/>
      <c r="BB123" s="558"/>
      <c r="BC123" s="575"/>
      <c r="BD123" s="575"/>
      <c r="BE123" s="575"/>
      <c r="BF123" s="558"/>
      <c r="BG123" s="575"/>
      <c r="BH123" s="575"/>
      <c r="BI123" s="575"/>
      <c r="BJ123" s="558"/>
      <c r="BK123" s="575"/>
      <c r="BL123" s="575"/>
      <c r="BM123" s="575"/>
      <c r="BN123" s="558"/>
      <c r="BO123" s="575"/>
      <c r="BP123" s="575"/>
      <c r="BQ123" s="575"/>
      <c r="BR123" s="558"/>
      <c r="BS123" s="492">
        <f>+BU122</f>
        <v>58176.204545454806</v>
      </c>
      <c r="BT123" s="476">
        <f>+BS$31</f>
        <v>8310.886363636364</v>
      </c>
      <c r="BU123" s="476">
        <f t="shared" si="160"/>
        <v>49865.318181818438</v>
      </c>
      <c r="BV123" s="493">
        <f>+BS$28*BU123+BT123</f>
        <v>13923.191511844345</v>
      </c>
      <c r="BW123" s="492">
        <f>+BY122</f>
        <v>4326309.2045454718</v>
      </c>
      <c r="BX123" s="476">
        <f>+BW$31</f>
        <v>576841.22727272729</v>
      </c>
      <c r="BY123" s="476">
        <f t="shared" si="162"/>
        <v>3749467.9772727443</v>
      </c>
      <c r="BZ123" s="493">
        <f>+BW$28*BY123+BX123</f>
        <v>998841.11014044366</v>
      </c>
      <c r="CA123" s="492">
        <f>+CC122</f>
        <v>412790.56000000163</v>
      </c>
      <c r="CB123" s="476">
        <f>+CA$31</f>
        <v>54433.919999999998</v>
      </c>
      <c r="CC123" s="476">
        <f t="shared" si="163"/>
        <v>358356.64000000164</v>
      </c>
      <c r="CD123" s="493">
        <f>+CA$28*CC123+CB123</f>
        <v>94766.698149199423</v>
      </c>
      <c r="CE123" s="492">
        <f>+CG122</f>
        <v>34256.460909091118</v>
      </c>
      <c r="CF123" s="476">
        <f>+CE$31</f>
        <v>4725.0290909090909</v>
      </c>
      <c r="CG123" s="476">
        <f t="shared" si="164"/>
        <v>29531.431818182027</v>
      </c>
      <c r="CH123" s="493">
        <f>+CE$28*CG123+CF123</f>
        <v>8048.7701773054232</v>
      </c>
      <c r="CI123" s="492">
        <f>+CK122</f>
        <v>100962.27272727242</v>
      </c>
      <c r="CJ123" s="476">
        <f>+CI$31</f>
        <v>12362.727272727272</v>
      </c>
      <c r="CK123" s="476">
        <f t="shared" si="165"/>
        <v>88599.54545454515</v>
      </c>
      <c r="CL123" s="493">
        <f>+CI$28*CK123+CJ123</f>
        <v>22334.541415582455</v>
      </c>
      <c r="CM123" s="492">
        <f>+CO122</f>
        <v>6167068.5230113752</v>
      </c>
      <c r="CN123" s="476">
        <f>+CM$31</f>
        <v>483691.64886363636</v>
      </c>
      <c r="CO123" s="476">
        <f t="shared" si="166"/>
        <v>5683376.8741477393</v>
      </c>
      <c r="CP123" s="493">
        <f>+CM$28*CO123+CN123</f>
        <v>1123351.5658761696</v>
      </c>
      <c r="CQ123" s="492">
        <f>+CS122</f>
        <v>25726133.545056827</v>
      </c>
      <c r="CR123" s="476">
        <f>+CQ$31</f>
        <v>2017735.9643181816</v>
      </c>
      <c r="CS123" s="476">
        <f t="shared" si="167"/>
        <v>23708397.580738645</v>
      </c>
      <c r="CT123" s="493">
        <f>+CQ$28*CS123+CR123</f>
        <v>4686098.7994450647</v>
      </c>
      <c r="CU123" s="492">
        <f>+CW122</f>
        <v>8790539.8425000198</v>
      </c>
      <c r="CV123" s="476">
        <f>+CU$31</f>
        <v>676195.37250000006</v>
      </c>
      <c r="CW123" s="476">
        <f t="shared" si="168"/>
        <v>8114344.4700000193</v>
      </c>
      <c r="CX123" s="493">
        <f>+CU$28*CW123+CV123</f>
        <v>1589458.9172600259</v>
      </c>
      <c r="CY123" s="492">
        <f>+DA122</f>
        <v>9905.2721590909132</v>
      </c>
      <c r="CZ123" s="476">
        <f>+CY$31</f>
        <v>733.72386363636497</v>
      </c>
      <c r="DA123" s="476">
        <f t="shared" si="40"/>
        <v>9171.5482954545478</v>
      </c>
      <c r="DB123" s="493">
        <f>+CY$28*DA123+CZ123</f>
        <v>1765.9749269492554</v>
      </c>
      <c r="DC123" s="492">
        <f>+DE122</f>
        <v>590031.41363636556</v>
      </c>
      <c r="DD123" s="476">
        <f>+DC$31</f>
        <v>44530.672727272722</v>
      </c>
      <c r="DE123" s="476">
        <f t="shared" si="41"/>
        <v>545500.74090909283</v>
      </c>
      <c r="DF123" s="493">
        <f>+DC$28*DE123+DD123</f>
        <v>105926.38277553709</v>
      </c>
      <c r="DG123" s="492">
        <f>+DI122</f>
        <v>332632.90329545364</v>
      </c>
      <c r="DH123" s="476">
        <f>+DG$31</f>
        <v>24639.474318181816</v>
      </c>
      <c r="DI123" s="476">
        <f t="shared" si="42"/>
        <v>307993.42897727183</v>
      </c>
      <c r="DJ123" s="493">
        <f>+DG$28*DI123+DH123</f>
        <v>59303.909843505011</v>
      </c>
      <c r="DK123" s="492">
        <f>+DM122</f>
        <v>7237174.3167045526</v>
      </c>
      <c r="DL123" s="476">
        <f>+DK$31</f>
        <v>549658.80886363634</v>
      </c>
      <c r="DM123" s="476">
        <f t="shared" si="43"/>
        <v>6687515.5078409165</v>
      </c>
      <c r="DN123" s="493">
        <f>+DK$28*DM123+DL123</f>
        <v>1302333.7958460937</v>
      </c>
      <c r="DO123" s="492">
        <f>+DQ122</f>
        <v>277563.30473484821</v>
      </c>
      <c r="DP123" s="476">
        <f>+DO$31</f>
        <v>19592.703863636354</v>
      </c>
      <c r="DQ123" s="476">
        <f t="shared" si="148"/>
        <v>257970.60087121185</v>
      </c>
      <c r="DR123" s="493">
        <f>+DO$28*DQ123+DP123</f>
        <v>48627.10661379667</v>
      </c>
      <c r="DS123" s="492">
        <f>+DU122</f>
        <v>120288.41454545435</v>
      </c>
      <c r="DT123" s="476">
        <f>+DS$31</f>
        <v>8295.7527272726966</v>
      </c>
      <c r="DU123" s="476">
        <f t="shared" si="58"/>
        <v>111992.66181818164</v>
      </c>
      <c r="DV123" s="493">
        <f>+DS$28*DU123+DT123</f>
        <v>20900.445034497745</v>
      </c>
      <c r="DW123" s="492">
        <f>+DY122</f>
        <v>17410.128579545406</v>
      </c>
      <c r="DX123" s="476">
        <f>+DW$31</f>
        <v>1221.7634090909089</v>
      </c>
      <c r="DY123" s="476">
        <f t="shared" si="59"/>
        <v>16188.365170454497</v>
      </c>
      <c r="DZ123" s="493">
        <f>+DW$28*DY123+DX123</f>
        <v>3043.7520877942397</v>
      </c>
      <c r="EA123" s="492">
        <f>+EC122</f>
        <v>-106211.16539772804</v>
      </c>
      <c r="EB123" s="476">
        <f>+EA$31</f>
        <v>-7120.3015909091364</v>
      </c>
      <c r="EC123" s="476">
        <f t="shared" si="60"/>
        <v>-99090.863806818903</v>
      </c>
      <c r="ED123" s="493">
        <f>+EA$28*EC123+EB123</f>
        <v>-18272.905953236408</v>
      </c>
      <c r="EE123" s="576">
        <f>+EG122</f>
        <v>3160133.5031818273</v>
      </c>
      <c r="EF123" s="580">
        <f>+EE$31</f>
        <v>192495.44181818186</v>
      </c>
      <c r="EG123" s="580">
        <f t="shared" si="69"/>
        <v>2967638.0613636454</v>
      </c>
      <c r="EH123" s="493">
        <f>+EE$28*EG123+EF123</f>
        <v>526500.93856605748</v>
      </c>
      <c r="EI123" s="576">
        <f>+EK122</f>
        <v>129552.72678030284</v>
      </c>
      <c r="EJ123" s="580">
        <f>+EI$31</f>
        <v>7696.2015909090906</v>
      </c>
      <c r="EK123" s="580">
        <f t="shared" si="70"/>
        <v>121856.52518939375</v>
      </c>
      <c r="EL123" s="493">
        <f>+EI$28*EK123+EJ123</f>
        <v>21411.064517674244</v>
      </c>
      <c r="EM123" s="576">
        <f>+EO122</f>
        <v>4441699.8006818146</v>
      </c>
      <c r="EN123" s="580">
        <f>+EM$31</f>
        <v>261276.45886363636</v>
      </c>
      <c r="EO123" s="580">
        <f t="shared" si="71"/>
        <v>4180423.3418181781</v>
      </c>
      <c r="EP123" s="493">
        <f>+EM$28*EO123+EN123</f>
        <v>731780.05331436754</v>
      </c>
      <c r="EQ123" s="576">
        <f>+ES122</f>
        <v>8760150.1034090761</v>
      </c>
      <c r="ER123" s="580">
        <f>+EQ$31</f>
        <v>500580.00590909086</v>
      </c>
      <c r="ES123" s="580">
        <f t="shared" si="94"/>
        <v>8259570.0974999852</v>
      </c>
      <c r="ET123" s="493">
        <f>+EQ$28*ES123+ER123</f>
        <v>1430188.5889961151</v>
      </c>
      <c r="EU123" s="576">
        <f>+EW122</f>
        <v>11319274.320454542</v>
      </c>
      <c r="EV123" s="580">
        <f>+EU$31</f>
        <v>646815.67545454553</v>
      </c>
      <c r="EW123" s="580">
        <f t="shared" si="95"/>
        <v>10672458.644999996</v>
      </c>
      <c r="EX123" s="493">
        <f>+EU$28*EW123+EV123</f>
        <v>1847993.1025988795</v>
      </c>
      <c r="EY123" s="582">
        <f t="shared" si="103"/>
        <v>20014336.06190823</v>
      </c>
      <c r="EZ123" s="557"/>
      <c r="FA123" s="578">
        <f>+EY123</f>
        <v>20014336.06190823</v>
      </c>
      <c r="FD123" s="492"/>
      <c r="FE123" s="476"/>
      <c r="FF123" s="476"/>
      <c r="FG123" s="493"/>
      <c r="FH123" s="492"/>
      <c r="FI123" s="476"/>
      <c r="FJ123" s="476"/>
      <c r="FK123" s="493"/>
      <c r="FL123" s="492"/>
      <c r="FM123" s="476"/>
      <c r="FN123" s="476"/>
      <c r="FO123" s="493"/>
      <c r="FP123" s="492"/>
      <c r="FQ123" s="476"/>
      <c r="FR123" s="476"/>
      <c r="FS123" s="493"/>
      <c r="FT123" s="492"/>
      <c r="FU123" s="476"/>
      <c r="FV123" s="476"/>
      <c r="FW123" s="493"/>
      <c r="FX123" s="492"/>
      <c r="FY123" s="476"/>
      <c r="FZ123" s="476"/>
      <c r="GA123" s="493"/>
      <c r="GB123" s="492"/>
      <c r="GC123" s="476"/>
      <c r="GD123" s="476"/>
      <c r="GE123" s="493"/>
      <c r="GF123" s="492"/>
      <c r="GG123" s="476"/>
      <c r="GH123" s="476"/>
      <c r="GI123" s="493"/>
      <c r="GJ123" s="492"/>
      <c r="GK123" s="476"/>
      <c r="GL123" s="476"/>
      <c r="GM123" s="493"/>
      <c r="GN123" s="492"/>
      <c r="GO123" s="476"/>
      <c r="GP123" s="476"/>
      <c r="GQ123" s="493"/>
      <c r="GR123" s="492"/>
      <c r="GS123" s="476"/>
      <c r="GT123" s="476"/>
      <c r="GU123" s="493"/>
      <c r="GV123" s="492"/>
      <c r="GW123" s="476"/>
      <c r="GX123" s="476"/>
      <c r="GY123" s="493"/>
      <c r="GZ123" s="492"/>
      <c r="HA123" s="476"/>
      <c r="HB123" s="476"/>
      <c r="HC123" s="493"/>
      <c r="HD123" s="576"/>
      <c r="HE123" s="580"/>
      <c r="HF123" s="580"/>
      <c r="HG123" s="918"/>
      <c r="HH123" s="919"/>
      <c r="HI123" s="925"/>
      <c r="HJ123" s="925"/>
      <c r="HK123" s="918"/>
      <c r="HL123" s="919"/>
      <c r="HM123" s="925"/>
      <c r="HN123" s="925"/>
      <c r="HO123" s="918"/>
      <c r="HP123" s="919"/>
      <c r="HQ123" s="925"/>
      <c r="HR123" s="925"/>
      <c r="HS123" s="918"/>
      <c r="HT123" s="919"/>
      <c r="HU123" s="925"/>
      <c r="HV123" s="925"/>
      <c r="HW123" s="918"/>
      <c r="HY123" s="492"/>
      <c r="HZ123" s="476"/>
      <c r="IA123" s="476"/>
      <c r="IB123" s="493"/>
      <c r="IC123" s="492"/>
      <c r="ID123" s="476"/>
      <c r="IE123" s="476"/>
      <c r="IF123" s="493"/>
      <c r="IG123" s="492"/>
      <c r="IH123" s="476"/>
      <c r="II123" s="476"/>
      <c r="IJ123" s="493"/>
    </row>
    <row r="124" spans="1:244">
      <c r="A124" s="554" t="s">
        <v>23</v>
      </c>
      <c r="B124" s="574">
        <v>2048</v>
      </c>
      <c r="C124" s="575">
        <f>+C123</f>
        <v>2117511.9244318083</v>
      </c>
      <c r="D124" s="575">
        <f>+D123</f>
        <v>445791.98409090913</v>
      </c>
      <c r="E124" s="575">
        <f t="shared" si="150"/>
        <v>1671719.9403408992</v>
      </c>
      <c r="F124" s="558">
        <f>+C$29*E124+D124</f>
        <v>644839.55752849928</v>
      </c>
      <c r="G124" s="575">
        <f>+G123</f>
        <v>521283.37295454362</v>
      </c>
      <c r="H124" s="575">
        <f>+H123</f>
        <v>115840.74954545456</v>
      </c>
      <c r="I124" s="575">
        <f t="shared" si="151"/>
        <v>405442.62340908905</v>
      </c>
      <c r="J124" s="558">
        <f>+G$29*I124+H124</f>
        <v>164115.80352446789</v>
      </c>
      <c r="K124" s="576">
        <f>+K123</f>
        <v>1145324.1042613601</v>
      </c>
      <c r="L124" s="575">
        <f>+L123</f>
        <v>305419.76113636367</v>
      </c>
      <c r="M124" s="575">
        <f t="shared" si="152"/>
        <v>839904.34312499641</v>
      </c>
      <c r="N124" s="558">
        <f>+K$29*M124+L124</f>
        <v>405425.10137572931</v>
      </c>
      <c r="O124" s="576">
        <f>+O123</f>
        <v>696011.8560606027</v>
      </c>
      <c r="P124" s="575">
        <f>+P123</f>
        <v>119316.31818181818</v>
      </c>
      <c r="Q124" s="575">
        <f t="shared" si="153"/>
        <v>576695.53787878458</v>
      </c>
      <c r="R124" s="558">
        <f>+O$29*Q124+P124</f>
        <v>187982.03464366158</v>
      </c>
      <c r="S124" s="492">
        <f>+S123</f>
        <v>242982.10606060294</v>
      </c>
      <c r="T124" s="476">
        <f>+T123</f>
        <v>58315.705454545445</v>
      </c>
      <c r="U124" s="476">
        <f t="shared" si="154"/>
        <v>184666.40060605749</v>
      </c>
      <c r="V124" s="493">
        <f>+S$29*U124+T124</f>
        <v>80303.478674857732</v>
      </c>
      <c r="W124" s="492">
        <f>+W123</f>
        <v>4044212.7462121318</v>
      </c>
      <c r="X124" s="476">
        <f>+X123</f>
        <v>693293.61363636365</v>
      </c>
      <c r="Y124" s="476">
        <f t="shared" si="155"/>
        <v>3350919.132575768</v>
      </c>
      <c r="Z124" s="493">
        <f>+W$29*Y124+X124</f>
        <v>1092279.2966023677</v>
      </c>
      <c r="AA124" s="492">
        <f>+AA123</f>
        <v>2667430.3314393917</v>
      </c>
      <c r="AB124" s="476">
        <f>+AB123</f>
        <v>450833.29545454547</v>
      </c>
      <c r="AC124" s="476">
        <f t="shared" si="156"/>
        <v>2216597.0359848463</v>
      </c>
      <c r="AD124" s="493">
        <f>+AA$29*AC124+AB124</f>
        <v>714758.04185181984</v>
      </c>
      <c r="AE124" s="492">
        <f>+AE123</f>
        <v>25288.375000000065</v>
      </c>
      <c r="AF124" s="476">
        <f>+AF123</f>
        <v>4597.886363636364</v>
      </c>
      <c r="AG124" s="476">
        <f t="shared" si="157"/>
        <v>20690.488636363702</v>
      </c>
      <c r="AH124" s="493">
        <f>+AE$29*AG124+AF124</f>
        <v>7061.4518550346429</v>
      </c>
      <c r="AI124" s="492">
        <f>+AI123</f>
        <v>2019574.1174242476</v>
      </c>
      <c r="AJ124" s="476">
        <f>+AJ123</f>
        <v>295547.43181818182</v>
      </c>
      <c r="AK124" s="476">
        <f t="shared" si="161"/>
        <v>1724026.6856060657</v>
      </c>
      <c r="AL124" s="493">
        <f>+AI$29*AK124+AJ124</f>
        <v>500823.04050749389</v>
      </c>
      <c r="AM124" s="492">
        <f>+AM123</f>
        <v>720634.9519318185</v>
      </c>
      <c r="AN124" s="476">
        <f>+AN123</f>
        <v>110866.91568181818</v>
      </c>
      <c r="AO124" s="476">
        <f t="shared" si="158"/>
        <v>609768.03625000035</v>
      </c>
      <c r="AP124" s="493">
        <f>+AM$29*AO124+AN124</f>
        <v>183470.49301942927</v>
      </c>
      <c r="AQ124" s="492">
        <f>+AQ123</f>
        <v>6108292.60159091</v>
      </c>
      <c r="AR124" s="476">
        <f>+AR123</f>
        <v>904932.23727272719</v>
      </c>
      <c r="AS124" s="476">
        <f t="shared" si="159"/>
        <v>5203360.3643181827</v>
      </c>
      <c r="AT124" s="493">
        <f>+AQ$29*AS124+AR124</f>
        <v>1524483.5324661464</v>
      </c>
      <c r="AU124" s="575"/>
      <c r="AV124" s="575"/>
      <c r="AW124" s="575"/>
      <c r="AX124" s="558"/>
      <c r="AY124" s="575"/>
      <c r="AZ124" s="575"/>
      <c r="BA124" s="575"/>
      <c r="BB124" s="558"/>
      <c r="BC124" s="575"/>
      <c r="BD124" s="575"/>
      <c r="BE124" s="575"/>
      <c r="BF124" s="558"/>
      <c r="BG124" s="575"/>
      <c r="BH124" s="575"/>
      <c r="BI124" s="575"/>
      <c r="BJ124" s="558"/>
      <c r="BK124" s="575"/>
      <c r="BL124" s="575"/>
      <c r="BM124" s="575"/>
      <c r="BN124" s="558"/>
      <c r="BO124" s="575"/>
      <c r="BP124" s="575"/>
      <c r="BQ124" s="575"/>
      <c r="BR124" s="558"/>
      <c r="BS124" s="492">
        <f>+BS123</f>
        <v>58176.204545454806</v>
      </c>
      <c r="BT124" s="476">
        <f>+BT123</f>
        <v>8310.886363636364</v>
      </c>
      <c r="BU124" s="476">
        <f t="shared" si="160"/>
        <v>49865.318181818438</v>
      </c>
      <c r="BV124" s="493">
        <f>+BS$29*BU124+BT124</f>
        <v>14248.226909302328</v>
      </c>
      <c r="BW124" s="492">
        <f>+BW123</f>
        <v>4326309.2045454718</v>
      </c>
      <c r="BX124" s="476">
        <f>+BX123</f>
        <v>576841.22727272729</v>
      </c>
      <c r="BY124" s="476">
        <f t="shared" si="162"/>
        <v>3749467.9772727443</v>
      </c>
      <c r="BZ124" s="493">
        <f>+BW$29*BY124+BX124</f>
        <v>998841.11014044366</v>
      </c>
      <c r="CA124" s="492">
        <f>+CA123</f>
        <v>412790.56000000163</v>
      </c>
      <c r="CB124" s="476">
        <f>+CB123</f>
        <v>54433.919999999998</v>
      </c>
      <c r="CC124" s="476">
        <f t="shared" si="163"/>
        <v>358356.64000000164</v>
      </c>
      <c r="CD124" s="493">
        <f>+CA$29*CC124+CB124</f>
        <v>97102.561975223856</v>
      </c>
      <c r="CE124" s="492">
        <f>+CE123</f>
        <v>34256.460909091118</v>
      </c>
      <c r="CF124" s="476">
        <f>+CF123</f>
        <v>4725.0290909090909</v>
      </c>
      <c r="CG124" s="476">
        <f t="shared" si="164"/>
        <v>29531.431818182027</v>
      </c>
      <c r="CH124" s="493">
        <f>+CE$29*CG124+CF124</f>
        <v>8241.2638989643765</v>
      </c>
      <c r="CI124" s="492">
        <f>+CI123</f>
        <v>100962.27272727242</v>
      </c>
      <c r="CJ124" s="476">
        <f>+CJ123</f>
        <v>12362.727272727272</v>
      </c>
      <c r="CK124" s="476">
        <f t="shared" si="165"/>
        <v>88599.54545454515</v>
      </c>
      <c r="CL124" s="493">
        <f>+CI$29*CK124+CJ124</f>
        <v>22334.541415582455</v>
      </c>
      <c r="CM124" s="492">
        <f>+CM123</f>
        <v>6167068.5230113752</v>
      </c>
      <c r="CN124" s="476">
        <f>+CN123</f>
        <v>483691.64886363636</v>
      </c>
      <c r="CO124" s="476">
        <f t="shared" si="166"/>
        <v>5683376.8741477393</v>
      </c>
      <c r="CP124" s="493">
        <f>+CM$29*CO124+CN124</f>
        <v>1123351.5658761696</v>
      </c>
      <c r="CQ124" s="492">
        <f>+CQ123</f>
        <v>25726133.545056827</v>
      </c>
      <c r="CR124" s="476">
        <f>+CR123</f>
        <v>2017735.9643181816</v>
      </c>
      <c r="CS124" s="476">
        <f t="shared" si="167"/>
        <v>23708397.580738645</v>
      </c>
      <c r="CT124" s="493">
        <f>+CQ$29*CS124+CR124</f>
        <v>4686098.7994450647</v>
      </c>
      <c r="CU124" s="492">
        <f>+CU123</f>
        <v>8790539.8425000198</v>
      </c>
      <c r="CV124" s="476">
        <f>+CV123</f>
        <v>676195.37250000006</v>
      </c>
      <c r="CW124" s="476">
        <f t="shared" si="168"/>
        <v>8114344.4700000193</v>
      </c>
      <c r="CX124" s="493">
        <f>+CU$29*CW124+CV124</f>
        <v>1589458.9172600259</v>
      </c>
      <c r="CY124" s="492">
        <f>+CY123</f>
        <v>9905.2721590909132</v>
      </c>
      <c r="CZ124" s="476">
        <f>+CZ123</f>
        <v>733.72386363636497</v>
      </c>
      <c r="DA124" s="476">
        <f t="shared" si="40"/>
        <v>9171.5482954545478</v>
      </c>
      <c r="DB124" s="493">
        <f>+CY$29*DA124+CZ124</f>
        <v>1765.9749269492554</v>
      </c>
      <c r="DC124" s="492">
        <f>+DC123</f>
        <v>590031.41363636556</v>
      </c>
      <c r="DD124" s="476">
        <f>+DD123</f>
        <v>44530.672727272722</v>
      </c>
      <c r="DE124" s="476">
        <f t="shared" si="41"/>
        <v>545500.74090909283</v>
      </c>
      <c r="DF124" s="493">
        <f>+DC$29*DE124+DD124</f>
        <v>105926.38277553709</v>
      </c>
      <c r="DG124" s="492">
        <f>+DG123</f>
        <v>332632.90329545364</v>
      </c>
      <c r="DH124" s="476">
        <f>+DH123</f>
        <v>24639.474318181816</v>
      </c>
      <c r="DI124" s="476">
        <f t="shared" si="42"/>
        <v>307993.42897727183</v>
      </c>
      <c r="DJ124" s="493">
        <f>+DG$29*DI124+DH124</f>
        <v>59303.909843505011</v>
      </c>
      <c r="DK124" s="492">
        <f>+DK123</f>
        <v>7237174.3167045526</v>
      </c>
      <c r="DL124" s="476">
        <f>+DL123</f>
        <v>549658.80886363634</v>
      </c>
      <c r="DM124" s="476">
        <f t="shared" si="43"/>
        <v>6687515.5078409165</v>
      </c>
      <c r="DN124" s="493">
        <f>+DK$29*DM124+DL124</f>
        <v>1302333.7958460937</v>
      </c>
      <c r="DO124" s="492">
        <f>+DO123</f>
        <v>277563.30473484821</v>
      </c>
      <c r="DP124" s="476">
        <f>+DP123</f>
        <v>19592.703863636354</v>
      </c>
      <c r="DQ124" s="476">
        <f t="shared" si="148"/>
        <v>257970.60087121185</v>
      </c>
      <c r="DR124" s="493">
        <f>+DO$29*DQ124+DP124</f>
        <v>48627.10661379667</v>
      </c>
      <c r="DS124" s="492">
        <f>+DS123</f>
        <v>120288.41454545435</v>
      </c>
      <c r="DT124" s="476">
        <f>+DT123</f>
        <v>8295.7527272726966</v>
      </c>
      <c r="DU124" s="476">
        <f t="shared" si="58"/>
        <v>111992.66181818164</v>
      </c>
      <c r="DV124" s="493">
        <f>+DS$29*DU124+DT124</f>
        <v>20900.445034497745</v>
      </c>
      <c r="DW124" s="492">
        <f>+DW123</f>
        <v>17410.128579545406</v>
      </c>
      <c r="DX124" s="476">
        <f>+DX123</f>
        <v>1221.7634090909089</v>
      </c>
      <c r="DY124" s="476">
        <f t="shared" si="59"/>
        <v>16188.365170454497</v>
      </c>
      <c r="DZ124" s="493">
        <f>+DW$29*DY124+DX124</f>
        <v>3043.7520877942397</v>
      </c>
      <c r="EA124" s="492">
        <f>+EA123</f>
        <v>-106211.16539772804</v>
      </c>
      <c r="EB124" s="476">
        <f>+EB123</f>
        <v>-7120.3015909091364</v>
      </c>
      <c r="EC124" s="476">
        <f t="shared" si="60"/>
        <v>-99090.863806818903</v>
      </c>
      <c r="ED124" s="493">
        <f>+EA$29*EC124+EB124</f>
        <v>-18272.905953236408</v>
      </c>
      <c r="EE124" s="576">
        <f>+EE123</f>
        <v>3160133.5031818273</v>
      </c>
      <c r="EF124" s="580">
        <f>+EF123</f>
        <v>192495.44181818186</v>
      </c>
      <c r="EG124" s="580">
        <f t="shared" si="69"/>
        <v>2967638.0613636454</v>
      </c>
      <c r="EH124" s="493">
        <f>+EE$29*EG124+EF124</f>
        <v>526500.93856605748</v>
      </c>
      <c r="EI124" s="576">
        <f>+EI123</f>
        <v>129552.72678030284</v>
      </c>
      <c r="EJ124" s="580">
        <f>+EJ123</f>
        <v>7696.2015909090906</v>
      </c>
      <c r="EK124" s="580">
        <f t="shared" si="70"/>
        <v>121856.52518939375</v>
      </c>
      <c r="EL124" s="493">
        <f>+EI$29*EK124+EJ124</f>
        <v>21411.064517674244</v>
      </c>
      <c r="EM124" s="576">
        <f>+EM123</f>
        <v>4441699.8006818146</v>
      </c>
      <c r="EN124" s="580">
        <f>+EN123</f>
        <v>261276.45886363636</v>
      </c>
      <c r="EO124" s="580">
        <f t="shared" si="71"/>
        <v>4180423.3418181781</v>
      </c>
      <c r="EP124" s="493">
        <f>+EM$29*EO124+EN124</f>
        <v>731780.05331436754</v>
      </c>
      <c r="EQ124" s="576">
        <f>+EQ123</f>
        <v>8760150.1034090761</v>
      </c>
      <c r="ER124" s="580">
        <f>+ER123</f>
        <v>500580.00590909086</v>
      </c>
      <c r="ES124" s="580">
        <f t="shared" si="94"/>
        <v>8259570.0974999852</v>
      </c>
      <c r="ET124" s="493">
        <f>+EQ$29*ES124+ER124</f>
        <v>1430188.5889961151</v>
      </c>
      <c r="EU124" s="576">
        <f>+EU123</f>
        <v>11319274.320454542</v>
      </c>
      <c r="EV124" s="580">
        <f>+EV123</f>
        <v>646815.67545454553</v>
      </c>
      <c r="EW124" s="580">
        <f t="shared" si="95"/>
        <v>10672458.644999996</v>
      </c>
      <c r="EX124" s="493">
        <f>+EU$29*EW124+EV124</f>
        <v>1847993.1025988795</v>
      </c>
      <c r="EY124" s="582">
        <f t="shared" si="103"/>
        <v>20126721.028138317</v>
      </c>
      <c r="EZ124" s="579">
        <f>+EY124</f>
        <v>20126721.028138317</v>
      </c>
      <c r="FA124" s="553"/>
      <c r="FD124" s="492"/>
      <c r="FE124" s="476"/>
      <c r="FF124" s="476"/>
      <c r="FG124" s="493"/>
      <c r="FH124" s="492"/>
      <c r="FI124" s="476"/>
      <c r="FJ124" s="476"/>
      <c r="FK124" s="493"/>
      <c r="FL124" s="492"/>
      <c r="FM124" s="476"/>
      <c r="FN124" s="476"/>
      <c r="FO124" s="493"/>
      <c r="FP124" s="492"/>
      <c r="FQ124" s="476"/>
      <c r="FR124" s="476"/>
      <c r="FS124" s="493"/>
      <c r="FT124" s="492"/>
      <c r="FU124" s="476"/>
      <c r="FV124" s="476"/>
      <c r="FW124" s="493"/>
      <c r="FX124" s="492"/>
      <c r="FY124" s="476"/>
      <c r="FZ124" s="476"/>
      <c r="GA124" s="493"/>
      <c r="GB124" s="492"/>
      <c r="GC124" s="476"/>
      <c r="GD124" s="476"/>
      <c r="GE124" s="493"/>
      <c r="GF124" s="492"/>
      <c r="GG124" s="476"/>
      <c r="GH124" s="476"/>
      <c r="GI124" s="493"/>
      <c r="GJ124" s="492"/>
      <c r="GK124" s="476"/>
      <c r="GL124" s="476"/>
      <c r="GM124" s="493"/>
      <c r="GN124" s="492"/>
      <c r="GO124" s="476"/>
      <c r="GP124" s="476"/>
      <c r="GQ124" s="493"/>
      <c r="GR124" s="492"/>
      <c r="GS124" s="476"/>
      <c r="GT124" s="476"/>
      <c r="GU124" s="493"/>
      <c r="GV124" s="492"/>
      <c r="GW124" s="476"/>
      <c r="GX124" s="476"/>
      <c r="GY124" s="493"/>
      <c r="GZ124" s="492"/>
      <c r="HA124" s="476"/>
      <c r="HB124" s="476"/>
      <c r="HC124" s="493"/>
      <c r="HD124" s="576"/>
      <c r="HE124" s="580"/>
      <c r="HF124" s="580"/>
      <c r="HG124" s="918"/>
      <c r="HH124" s="919"/>
      <c r="HI124" s="925"/>
      <c r="HJ124" s="925"/>
      <c r="HK124" s="918"/>
      <c r="HL124" s="919"/>
      <c r="HM124" s="925"/>
      <c r="HN124" s="925"/>
      <c r="HO124" s="918"/>
      <c r="HP124" s="919"/>
      <c r="HQ124" s="925"/>
      <c r="HR124" s="925"/>
      <c r="HS124" s="918"/>
      <c r="HT124" s="919"/>
      <c r="HU124" s="925"/>
      <c r="HV124" s="925"/>
      <c r="HW124" s="918"/>
      <c r="HY124" s="492"/>
      <c r="HZ124" s="476"/>
      <c r="IA124" s="476"/>
      <c r="IB124" s="493"/>
      <c r="IC124" s="492"/>
      <c r="ID124" s="476"/>
      <c r="IE124" s="476"/>
      <c r="IF124" s="493"/>
      <c r="IG124" s="492"/>
      <c r="IH124" s="476"/>
      <c r="II124" s="476"/>
      <c r="IJ124" s="493"/>
    </row>
    <row r="125" spans="1:244">
      <c r="A125" s="554" t="s">
        <v>24</v>
      </c>
      <c r="B125" s="574">
        <v>2049</v>
      </c>
      <c r="C125" s="575">
        <f>+E124</f>
        <v>1671719.9403408992</v>
      </c>
      <c r="D125" s="575">
        <f>+C$31</f>
        <v>445791.98409090913</v>
      </c>
      <c r="E125" s="575">
        <f t="shared" si="150"/>
        <v>1225927.95624999</v>
      </c>
      <c r="F125" s="558">
        <f>+C$28*E125+D125</f>
        <v>583769.28035736619</v>
      </c>
      <c r="G125" s="575">
        <f>+I124</f>
        <v>405442.62340908905</v>
      </c>
      <c r="H125" s="575">
        <f>+G$31</f>
        <v>115840.74954545456</v>
      </c>
      <c r="I125" s="575">
        <f t="shared" si="151"/>
        <v>289601.87386363448</v>
      </c>
      <c r="J125" s="558">
        <f>+G$28*I125+H125</f>
        <v>148435.22897280479</v>
      </c>
      <c r="K125" s="576">
        <f>+M124</f>
        <v>839904.34312499641</v>
      </c>
      <c r="L125" s="575">
        <f>+K$31</f>
        <v>305419.76113636367</v>
      </c>
      <c r="M125" s="575">
        <f t="shared" si="152"/>
        <v>534484.58198863268</v>
      </c>
      <c r="N125" s="558">
        <f>+K$28*M125+L125</f>
        <v>365575.61054246093</v>
      </c>
      <c r="O125" s="576">
        <f>+Q124</f>
        <v>576695.53787878458</v>
      </c>
      <c r="P125" s="575">
        <f>+O$31</f>
        <v>119316.31818181818</v>
      </c>
      <c r="Q125" s="575">
        <f t="shared" si="153"/>
        <v>457379.21969696641</v>
      </c>
      <c r="R125" s="558">
        <f>+O$28*Q125+P125</f>
        <v>170794.0153666439</v>
      </c>
      <c r="S125" s="492">
        <f>+U124</f>
        <v>184666.40060605749</v>
      </c>
      <c r="T125" s="476">
        <f>+S$31</f>
        <v>58315.705454545445</v>
      </c>
      <c r="U125" s="476">
        <f t="shared" si="154"/>
        <v>126350.69515151205</v>
      </c>
      <c r="V125" s="493">
        <f>+S$28*U125+T125</f>
        <v>72536.38392876889</v>
      </c>
      <c r="W125" s="492">
        <f>+Y124</f>
        <v>3350919.132575768</v>
      </c>
      <c r="X125" s="476">
        <f>+W$31</f>
        <v>693293.61363636365</v>
      </c>
      <c r="Y125" s="476">
        <f t="shared" si="155"/>
        <v>2657625.5189394043</v>
      </c>
      <c r="Z125" s="493">
        <f>+W$28*Y125+X125</f>
        <v>992407.42511487706</v>
      </c>
      <c r="AA125" s="492">
        <f>+AC124</f>
        <v>2216597.0359848463</v>
      </c>
      <c r="AB125" s="476">
        <f>+AA$31</f>
        <v>450833.29545454547</v>
      </c>
      <c r="AC125" s="476">
        <f t="shared" si="156"/>
        <v>1765763.7405303009</v>
      </c>
      <c r="AD125" s="493">
        <f>+AA$28*AC125+AB125</f>
        <v>649568.71503741923</v>
      </c>
      <c r="AE125" s="492">
        <f>+AG124</f>
        <v>20690.488636363702</v>
      </c>
      <c r="AF125" s="476">
        <f>+AE$31</f>
        <v>4597.886363636364</v>
      </c>
      <c r="AG125" s="476">
        <f t="shared" si="157"/>
        <v>16092.602272727338</v>
      </c>
      <c r="AH125" s="493">
        <f>+AE$28*AG125+AF125</f>
        <v>6409.096998129452</v>
      </c>
      <c r="AI125" s="492">
        <f>+AK124</f>
        <v>1724026.6856060657</v>
      </c>
      <c r="AJ125" s="476">
        <f>+AI$31</f>
        <v>295547.43181818182</v>
      </c>
      <c r="AK125" s="476">
        <f t="shared" si="161"/>
        <v>1428479.2537878838</v>
      </c>
      <c r="AL125" s="493">
        <f>+AI$28*AK125+AJ125</f>
        <v>456321.72871347691</v>
      </c>
      <c r="AM125" s="492">
        <f>+AO124</f>
        <v>609768.03625000035</v>
      </c>
      <c r="AN125" s="476">
        <f>+AM$31</f>
        <v>110866.91568181818</v>
      </c>
      <c r="AO125" s="476">
        <f t="shared" si="158"/>
        <v>498901.1205681822</v>
      </c>
      <c r="AP125" s="493">
        <f>+AM$28*AO125+AN125</f>
        <v>167017.87248915792</v>
      </c>
      <c r="AQ125" s="492">
        <f>+AS124</f>
        <v>5203360.3643181827</v>
      </c>
      <c r="AR125" s="476">
        <f>+AQ$31</f>
        <v>904932.23727272719</v>
      </c>
      <c r="AS125" s="476">
        <f t="shared" si="159"/>
        <v>4298428.1270454554</v>
      </c>
      <c r="AT125" s="493">
        <f>+AQ$28*AS125+AR125</f>
        <v>1388717.1841301438</v>
      </c>
      <c r="AU125" s="575"/>
      <c r="AV125" s="575"/>
      <c r="AW125" s="575"/>
      <c r="AX125" s="558"/>
      <c r="AY125" s="575"/>
      <c r="AZ125" s="575"/>
      <c r="BA125" s="575"/>
      <c r="BB125" s="558"/>
      <c r="BC125" s="575"/>
      <c r="BD125" s="575"/>
      <c r="BE125" s="575"/>
      <c r="BF125" s="558"/>
      <c r="BG125" s="575"/>
      <c r="BH125" s="575"/>
      <c r="BI125" s="575"/>
      <c r="BJ125" s="558"/>
      <c r="BK125" s="575"/>
      <c r="BL125" s="575"/>
      <c r="BM125" s="575"/>
      <c r="BN125" s="558"/>
      <c r="BO125" s="575"/>
      <c r="BP125" s="575"/>
      <c r="BQ125" s="575"/>
      <c r="BR125" s="558"/>
      <c r="BS125" s="492">
        <f>+BU124</f>
        <v>49865.318181818438</v>
      </c>
      <c r="BT125" s="476">
        <f>+BS$31</f>
        <v>8310.886363636364</v>
      </c>
      <c r="BU125" s="476">
        <f t="shared" si="160"/>
        <v>41554.431818182071</v>
      </c>
      <c r="BV125" s="493">
        <f>+BS$28*BU125+BT125</f>
        <v>12987.807320476353</v>
      </c>
      <c r="BW125" s="492">
        <f>+BY124</f>
        <v>3749467.9772727443</v>
      </c>
      <c r="BX125" s="476">
        <f>+BW$31</f>
        <v>576841.22727272729</v>
      </c>
      <c r="BY125" s="476">
        <f t="shared" si="162"/>
        <v>3172626.7500000168</v>
      </c>
      <c r="BZ125" s="493">
        <f>+BW$28*BY125+BX125</f>
        <v>933918.05123771832</v>
      </c>
      <c r="CA125" s="492">
        <f>+CC124</f>
        <v>358356.64000000164</v>
      </c>
      <c r="CB125" s="476">
        <f>+CA$31</f>
        <v>54433.919999999998</v>
      </c>
      <c r="CC125" s="476">
        <f t="shared" si="163"/>
        <v>303922.72000000166</v>
      </c>
      <c r="CD125" s="493">
        <f>+CA$28*CC125+CB125</f>
        <v>88640.200202485605</v>
      </c>
      <c r="CE125" s="492">
        <f>+CG124</f>
        <v>29531.431818182027</v>
      </c>
      <c r="CF125" s="476">
        <f>+CE$31</f>
        <v>4725.0290909090909</v>
      </c>
      <c r="CG125" s="476">
        <f t="shared" si="164"/>
        <v>24806.402727272936</v>
      </c>
      <c r="CH125" s="493">
        <f>+CE$28*CG125+CF125</f>
        <v>7516.971603482014</v>
      </c>
      <c r="CI125" s="492">
        <f>+CK124</f>
        <v>88599.54545454515</v>
      </c>
      <c r="CJ125" s="476">
        <f>+CI$31</f>
        <v>12362.727272727272</v>
      </c>
      <c r="CK125" s="476">
        <f t="shared" si="165"/>
        <v>76236.818181817885</v>
      </c>
      <c r="CL125" s="493">
        <f>+CI$28*CK125+CJ125</f>
        <v>20943.125488672427</v>
      </c>
      <c r="CM125" s="492">
        <f>+CO124</f>
        <v>5683376.8741477393</v>
      </c>
      <c r="CN125" s="476">
        <f>+CM$31</f>
        <v>483691.64886363636</v>
      </c>
      <c r="CO125" s="476">
        <f t="shared" si="166"/>
        <v>5199685.2252841033</v>
      </c>
      <c r="CP125" s="493">
        <f>+CM$28*CO125+CN125</f>
        <v>1068912.4240027627</v>
      </c>
      <c r="CQ125" s="492">
        <f>+CS124</f>
        <v>23708397.580738645</v>
      </c>
      <c r="CR125" s="476">
        <f>+CQ$31</f>
        <v>2017735.9643181816</v>
      </c>
      <c r="CS125" s="476">
        <f t="shared" si="167"/>
        <v>21690661.616420463</v>
      </c>
      <c r="CT125" s="493">
        <f>+CQ$28*CS125+CR125</f>
        <v>4459004.0900725638</v>
      </c>
      <c r="CU125" s="492">
        <f>+CW124</f>
        <v>8114344.4700000193</v>
      </c>
      <c r="CV125" s="476">
        <f>+CU$31</f>
        <v>676195.37250000006</v>
      </c>
      <c r="CW125" s="476">
        <f t="shared" si="168"/>
        <v>7438149.0975000188</v>
      </c>
      <c r="CX125" s="493">
        <f>+CU$28*CW125+CV125</f>
        <v>1513353.6218633573</v>
      </c>
      <c r="CY125" s="492">
        <f>+DA124</f>
        <v>9171.5482954545478</v>
      </c>
      <c r="CZ125" s="476">
        <f>+CY$31</f>
        <v>733.72386363636497</v>
      </c>
      <c r="DA125" s="476">
        <f t="shared" ref="DA125:DA150" si="169">+CY125-CZ125</f>
        <v>8437.8244318181823</v>
      </c>
      <c r="DB125" s="493">
        <f>+CY$28*DA125+CZ125</f>
        <v>1683.3948418842242</v>
      </c>
      <c r="DC125" s="492">
        <f>+DE124</f>
        <v>545500.74090909283</v>
      </c>
      <c r="DD125" s="476">
        <f>+DC$31</f>
        <v>44530.672727272722</v>
      </c>
      <c r="DE125" s="476">
        <f t="shared" ref="DE125:DE150" si="170">+DC125-DD125</f>
        <v>500970.0681818201</v>
      </c>
      <c r="DF125" s="493">
        <f>+DC$28*DE125+DD125</f>
        <v>100914.48807771961</v>
      </c>
      <c r="DG125" s="492">
        <f>+DI124</f>
        <v>307993.42897727183</v>
      </c>
      <c r="DH125" s="476">
        <f>+DG$31</f>
        <v>24639.474318181816</v>
      </c>
      <c r="DI125" s="476">
        <f t="shared" ref="DI125:DI150" si="171">+DG125-DH125</f>
        <v>283353.95465909003</v>
      </c>
      <c r="DJ125" s="493">
        <f>+DG$28*DI125+DH125</f>
        <v>56530.755001479149</v>
      </c>
      <c r="DK125" s="492">
        <f>+DM124</f>
        <v>6687515.5078409165</v>
      </c>
      <c r="DL125" s="476">
        <f>+DK$31</f>
        <v>549658.80886363634</v>
      </c>
      <c r="DM125" s="476">
        <f t="shared" ref="DM125:DM150" si="172">+DK125-DL125</f>
        <v>6137856.6989772804</v>
      </c>
      <c r="DN125" s="493">
        <f>+DK$28*DM125+DL125</f>
        <v>1240470.0982858918</v>
      </c>
      <c r="DO125" s="492">
        <f>+DQ124</f>
        <v>257970.60087121185</v>
      </c>
      <c r="DP125" s="476">
        <f>+DO$31</f>
        <v>19592.703863636354</v>
      </c>
      <c r="DQ125" s="476">
        <f t="shared" si="148"/>
        <v>238377.89700757549</v>
      </c>
      <c r="DR125" s="493">
        <f>+DO$28*DQ125+DP125</f>
        <v>46421.962101126264</v>
      </c>
      <c r="DS125" s="492">
        <f>+DU124</f>
        <v>111992.66181818164</v>
      </c>
      <c r="DT125" s="476">
        <f>+DS$31</f>
        <v>8295.7527272726966</v>
      </c>
      <c r="DU125" s="476">
        <f t="shared" si="58"/>
        <v>103696.90909090894</v>
      </c>
      <c r="DV125" s="493">
        <f>+DS$28*DU125+DT125</f>
        <v>19966.764122851448</v>
      </c>
      <c r="DW125" s="492">
        <f>+DY124</f>
        <v>16188.365170454497</v>
      </c>
      <c r="DX125" s="476">
        <f>+DW$31</f>
        <v>1221.7634090909089</v>
      </c>
      <c r="DY125" s="476">
        <f t="shared" si="59"/>
        <v>14966.601761363589</v>
      </c>
      <c r="DZ125" s="493">
        <f>+DW$28*DY125+DX125</f>
        <v>2906.2435082694597</v>
      </c>
      <c r="EA125" s="492">
        <f>+EC124</f>
        <v>-99090.863806818903</v>
      </c>
      <c r="EB125" s="476">
        <f>+EA$31</f>
        <v>-7120.3015909091364</v>
      </c>
      <c r="EC125" s="476">
        <f t="shared" si="60"/>
        <v>-91970.562215909769</v>
      </c>
      <c r="ED125" s="493">
        <f>+EA$28*EC125+EB125</f>
        <v>-17471.521208638042</v>
      </c>
      <c r="EE125" s="576">
        <f>+EG124</f>
        <v>2967638.0613636454</v>
      </c>
      <c r="EF125" s="580">
        <f>+EE$31</f>
        <v>192495.44181818186</v>
      </c>
      <c r="EG125" s="580">
        <f t="shared" si="69"/>
        <v>2775142.6195454635</v>
      </c>
      <c r="EH125" s="493">
        <f>+EE$28*EG125+EF125</f>
        <v>504835.71715538448</v>
      </c>
      <c r="EI125" s="576">
        <f>+EK124</f>
        <v>121856.52518939375</v>
      </c>
      <c r="EJ125" s="580">
        <f>+EI$31</f>
        <v>7696.2015909090906</v>
      </c>
      <c r="EK125" s="580">
        <f t="shared" si="70"/>
        <v>114160.32359848467</v>
      </c>
      <c r="EL125" s="493">
        <f>+EI$28*EK125+EJ125</f>
        <v>20544.862648615392</v>
      </c>
      <c r="EM125" s="576">
        <f>+EO124</f>
        <v>4180423.3418181781</v>
      </c>
      <c r="EN125" s="580">
        <f>+EM$31</f>
        <v>261276.45886363636</v>
      </c>
      <c r="EO125" s="580">
        <f t="shared" si="71"/>
        <v>3919146.8829545416</v>
      </c>
      <c r="EP125" s="493">
        <f>+EM$28*EO125+EN125</f>
        <v>702373.57866119687</v>
      </c>
      <c r="EQ125" s="576">
        <f>+ES124</f>
        <v>8259570.0974999852</v>
      </c>
      <c r="ER125" s="580">
        <f>+EQ$31</f>
        <v>500580.00590909086</v>
      </c>
      <c r="ES125" s="580">
        <f t="shared" si="94"/>
        <v>7758990.0915908944</v>
      </c>
      <c r="ET125" s="493">
        <f>+EQ$28*ES125+ER125</f>
        <v>1373848.6748696286</v>
      </c>
      <c r="EU125" s="576">
        <f>+EW124</f>
        <v>10672458.644999996</v>
      </c>
      <c r="EV125" s="580">
        <f>+EU$31</f>
        <v>646815.67545454553</v>
      </c>
      <c r="EW125" s="580">
        <f t="shared" si="95"/>
        <v>10025642.96954545</v>
      </c>
      <c r="EX125" s="493">
        <f>+EU$28*EW125+EV125</f>
        <v>1775194.4706507381</v>
      </c>
      <c r="EY125" s="582">
        <f t="shared" si="103"/>
        <v>18935048.322158918</v>
      </c>
      <c r="EZ125" s="557"/>
      <c r="FA125" s="578">
        <f>+EY125</f>
        <v>18935048.322158918</v>
      </c>
      <c r="FD125" s="492"/>
      <c r="FE125" s="476"/>
      <c r="FF125" s="476"/>
      <c r="FG125" s="493"/>
      <c r="FH125" s="492"/>
      <c r="FI125" s="476"/>
      <c r="FJ125" s="476"/>
      <c r="FK125" s="493"/>
      <c r="FL125" s="492"/>
      <c r="FM125" s="476"/>
      <c r="FN125" s="476"/>
      <c r="FO125" s="493"/>
      <c r="FP125" s="492"/>
      <c r="FQ125" s="476"/>
      <c r="FR125" s="476"/>
      <c r="FS125" s="493"/>
      <c r="FT125" s="492"/>
      <c r="FU125" s="476"/>
      <c r="FV125" s="476"/>
      <c r="FW125" s="493"/>
      <c r="FX125" s="492"/>
      <c r="FY125" s="476"/>
      <c r="FZ125" s="476"/>
      <c r="GA125" s="493"/>
      <c r="GB125" s="492"/>
      <c r="GC125" s="476"/>
      <c r="GD125" s="476"/>
      <c r="GE125" s="493"/>
      <c r="GF125" s="492"/>
      <c r="GG125" s="476"/>
      <c r="GH125" s="476"/>
      <c r="GI125" s="493"/>
      <c r="GJ125" s="492"/>
      <c r="GK125" s="476"/>
      <c r="GL125" s="476"/>
      <c r="GM125" s="493"/>
      <c r="GN125" s="492"/>
      <c r="GO125" s="476"/>
      <c r="GP125" s="476"/>
      <c r="GQ125" s="493"/>
      <c r="GR125" s="492"/>
      <c r="GS125" s="476"/>
      <c r="GT125" s="476"/>
      <c r="GU125" s="493"/>
      <c r="GV125" s="492"/>
      <c r="GW125" s="476"/>
      <c r="GX125" s="476"/>
      <c r="GY125" s="493"/>
      <c r="GZ125" s="492"/>
      <c r="HA125" s="476"/>
      <c r="HB125" s="476"/>
      <c r="HC125" s="493"/>
      <c r="HD125" s="576"/>
      <c r="HE125" s="580"/>
      <c r="HF125" s="580"/>
      <c r="HG125" s="918"/>
      <c r="HH125" s="919"/>
      <c r="HI125" s="925"/>
      <c r="HJ125" s="925"/>
      <c r="HK125" s="918"/>
      <c r="HL125" s="919"/>
      <c r="HM125" s="925"/>
      <c r="HN125" s="925"/>
      <c r="HO125" s="918"/>
      <c r="HP125" s="919"/>
      <c r="HQ125" s="925"/>
      <c r="HR125" s="925"/>
      <c r="HS125" s="918"/>
      <c r="HT125" s="919"/>
      <c r="HU125" s="925"/>
      <c r="HV125" s="925"/>
      <c r="HW125" s="918"/>
      <c r="HY125" s="492"/>
      <c r="HZ125" s="476"/>
      <c r="IA125" s="476"/>
      <c r="IB125" s="493"/>
      <c r="IC125" s="492"/>
      <c r="ID125" s="476"/>
      <c r="IE125" s="476"/>
      <c r="IF125" s="493"/>
      <c r="IG125" s="492"/>
      <c r="IH125" s="476"/>
      <c r="II125" s="476"/>
      <c r="IJ125" s="493"/>
    </row>
    <row r="126" spans="1:244">
      <c r="A126" s="554" t="s">
        <v>23</v>
      </c>
      <c r="B126" s="574">
        <v>2049</v>
      </c>
      <c r="C126" s="575">
        <f>+C125</f>
        <v>1671719.9403408992</v>
      </c>
      <c r="D126" s="575">
        <f>+D125</f>
        <v>445791.98409090913</v>
      </c>
      <c r="E126" s="575">
        <f t="shared" si="150"/>
        <v>1225927.95624999</v>
      </c>
      <c r="F126" s="558">
        <f>+C$29*E126+D126</f>
        <v>591760.20461180829</v>
      </c>
      <c r="G126" s="575">
        <f>+G125</f>
        <v>405442.62340908905</v>
      </c>
      <c r="H126" s="575">
        <f>+H125</f>
        <v>115840.74954545456</v>
      </c>
      <c r="I126" s="575">
        <f t="shared" si="151"/>
        <v>289601.87386363448</v>
      </c>
      <c r="J126" s="558">
        <f>+G$29*I126+H126</f>
        <v>150322.93095903547</v>
      </c>
      <c r="K126" s="576">
        <f>+K125</f>
        <v>839904.34312499641</v>
      </c>
      <c r="L126" s="575">
        <f>+L125</f>
        <v>305419.76113636367</v>
      </c>
      <c r="M126" s="575">
        <f t="shared" si="152"/>
        <v>534484.58198863268</v>
      </c>
      <c r="N126" s="558">
        <f>+K$29*M126+L126</f>
        <v>369059.5231068689</v>
      </c>
      <c r="O126" s="576">
        <f>+O125</f>
        <v>576695.53787878458</v>
      </c>
      <c r="P126" s="575">
        <f>+P125</f>
        <v>119316.31818181818</v>
      </c>
      <c r="Q126" s="575">
        <f t="shared" si="153"/>
        <v>457379.21969696641</v>
      </c>
      <c r="R126" s="558">
        <f>+O$29*Q126+P126</f>
        <v>173775.33468603872</v>
      </c>
      <c r="S126" s="492">
        <f>+S125</f>
        <v>184666.40060605749</v>
      </c>
      <c r="T126" s="476">
        <f>+T125</f>
        <v>58315.705454545445</v>
      </c>
      <c r="U126" s="476">
        <f t="shared" si="154"/>
        <v>126350.69515151205</v>
      </c>
      <c r="V126" s="493">
        <f>+S$29*U126+T126</f>
        <v>73359.971342127421</v>
      </c>
      <c r="W126" s="492">
        <f>+W125</f>
        <v>3350919.132575768</v>
      </c>
      <c r="X126" s="476">
        <f>+X125</f>
        <v>693293.61363636365</v>
      </c>
      <c r="Y126" s="476">
        <f t="shared" si="155"/>
        <v>2657625.5189394043</v>
      </c>
      <c r="Z126" s="493">
        <f>+W$29*Y126+X126</f>
        <v>1009730.5346094016</v>
      </c>
      <c r="AA126" s="492">
        <f>+AA125</f>
        <v>2216597.0359848463</v>
      </c>
      <c r="AB126" s="476">
        <f>+AB125</f>
        <v>450833.29545454547</v>
      </c>
      <c r="AC126" s="476">
        <f t="shared" si="156"/>
        <v>1765763.7405303009</v>
      </c>
      <c r="AD126" s="493">
        <f>+AA$29*AC126+AB126</f>
        <v>661078.43241508608</v>
      </c>
      <c r="AE126" s="492">
        <f>+AE125</f>
        <v>20690.488636363702</v>
      </c>
      <c r="AF126" s="476">
        <f>+AF125</f>
        <v>4597.886363636364</v>
      </c>
      <c r="AG126" s="476">
        <f t="shared" si="157"/>
        <v>16092.602272727338</v>
      </c>
      <c r="AH126" s="493">
        <f>+AE$29*AG126+AF126</f>
        <v>6513.9928569461381</v>
      </c>
      <c r="AI126" s="492">
        <f>+AI125</f>
        <v>1724026.6856060657</v>
      </c>
      <c r="AJ126" s="476">
        <f>+AJ125</f>
        <v>295547.43181818182</v>
      </c>
      <c r="AK126" s="476">
        <f t="shared" si="161"/>
        <v>1428479.2537878838</v>
      </c>
      <c r="AL126" s="493">
        <f>+AI$29*AK126+AJ126</f>
        <v>465632.93616075476</v>
      </c>
      <c r="AM126" s="492">
        <f>+AM125</f>
        <v>609768.03625000035</v>
      </c>
      <c r="AN126" s="476">
        <f>+AN125</f>
        <v>110866.91568181818</v>
      </c>
      <c r="AO126" s="476">
        <f t="shared" si="158"/>
        <v>498901.1205681822</v>
      </c>
      <c r="AP126" s="493">
        <f>+AM$29*AO126+AN126</f>
        <v>170269.8425944091</v>
      </c>
      <c r="AQ126" s="492">
        <f>+AQ125</f>
        <v>5203360.3643181827</v>
      </c>
      <c r="AR126" s="476">
        <f>+AR125</f>
        <v>904932.23727272719</v>
      </c>
      <c r="AS126" s="476">
        <f t="shared" si="159"/>
        <v>4298428.1270454554</v>
      </c>
      <c r="AT126" s="493">
        <f>+AQ$29*AS126+AR126</f>
        <v>1416735.4811281604</v>
      </c>
      <c r="AU126" s="575"/>
      <c r="AV126" s="575"/>
      <c r="AW126" s="575"/>
      <c r="AX126" s="558"/>
      <c r="AY126" s="575"/>
      <c r="AZ126" s="575"/>
      <c r="BA126" s="575"/>
      <c r="BB126" s="558"/>
      <c r="BC126" s="575"/>
      <c r="BD126" s="575"/>
      <c r="BE126" s="575"/>
      <c r="BF126" s="558"/>
      <c r="BG126" s="575"/>
      <c r="BH126" s="575"/>
      <c r="BI126" s="575"/>
      <c r="BJ126" s="558"/>
      <c r="BK126" s="575"/>
      <c r="BL126" s="575"/>
      <c r="BM126" s="575"/>
      <c r="BN126" s="558"/>
      <c r="BO126" s="575"/>
      <c r="BP126" s="575"/>
      <c r="BQ126" s="575"/>
      <c r="BR126" s="558"/>
      <c r="BS126" s="492">
        <f>+BS125</f>
        <v>49865.318181818438</v>
      </c>
      <c r="BT126" s="476">
        <f>+BT125</f>
        <v>8310.886363636364</v>
      </c>
      <c r="BU126" s="476">
        <f t="shared" si="160"/>
        <v>41554.431818182071</v>
      </c>
      <c r="BV126" s="493">
        <f>+BS$29*BU126+BT126</f>
        <v>13258.670151691338</v>
      </c>
      <c r="BW126" s="492">
        <f>+BW125</f>
        <v>3749467.9772727443</v>
      </c>
      <c r="BX126" s="476">
        <f>+BX125</f>
        <v>576841.22727272729</v>
      </c>
      <c r="BY126" s="476">
        <f t="shared" si="162"/>
        <v>3172626.7500000168</v>
      </c>
      <c r="BZ126" s="493">
        <f>+BW$29*BY126+BX126</f>
        <v>933918.05123771832</v>
      </c>
      <c r="CA126" s="492">
        <f>+CA125</f>
        <v>358356.64000000164</v>
      </c>
      <c r="CB126" s="476">
        <f>+CB125</f>
        <v>54433.919999999998</v>
      </c>
      <c r="CC126" s="476">
        <f t="shared" si="163"/>
        <v>303922.72000000166</v>
      </c>
      <c r="CD126" s="493">
        <f>+CA$29*CC126+CB126</f>
        <v>90621.249270126587</v>
      </c>
      <c r="CE126" s="492">
        <f>+CE125</f>
        <v>29531.431818182027</v>
      </c>
      <c r="CF126" s="476">
        <f>+CF125</f>
        <v>4725.0290909090909</v>
      </c>
      <c r="CG126" s="476">
        <f t="shared" si="164"/>
        <v>24806.402727272936</v>
      </c>
      <c r="CH126" s="493">
        <f>+CE$29*CG126+CF126</f>
        <v>7678.6663296755341</v>
      </c>
      <c r="CI126" s="492">
        <f>+CI125</f>
        <v>88599.54545454515</v>
      </c>
      <c r="CJ126" s="476">
        <f>+CJ125</f>
        <v>12362.727272727272</v>
      </c>
      <c r="CK126" s="476">
        <f t="shared" si="165"/>
        <v>76236.818181817885</v>
      </c>
      <c r="CL126" s="493">
        <f>+CI$29*CK126+CJ126</f>
        <v>20943.125488672427</v>
      </c>
      <c r="CM126" s="492">
        <f>+CM125</f>
        <v>5683376.8741477393</v>
      </c>
      <c r="CN126" s="476">
        <f>+CN125</f>
        <v>483691.64886363636</v>
      </c>
      <c r="CO126" s="476">
        <f t="shared" si="166"/>
        <v>5199685.2252841033</v>
      </c>
      <c r="CP126" s="493">
        <f>+CM$29*CO126+CN126</f>
        <v>1068912.4240027627</v>
      </c>
      <c r="CQ126" s="492">
        <f>+CQ125</f>
        <v>23708397.580738645</v>
      </c>
      <c r="CR126" s="476">
        <f>+CR125</f>
        <v>2017735.9643181816</v>
      </c>
      <c r="CS126" s="476">
        <f t="shared" si="167"/>
        <v>21690661.616420463</v>
      </c>
      <c r="CT126" s="493">
        <f>+CQ$29*CS126+CR126</f>
        <v>4459004.0900725638</v>
      </c>
      <c r="CU126" s="492">
        <f>+CU125</f>
        <v>8114344.4700000193</v>
      </c>
      <c r="CV126" s="476">
        <f>+CV125</f>
        <v>676195.37250000006</v>
      </c>
      <c r="CW126" s="476">
        <f t="shared" si="168"/>
        <v>7438149.0975000188</v>
      </c>
      <c r="CX126" s="493">
        <f>+CU$29*CW126+CV126</f>
        <v>1513353.6218633573</v>
      </c>
      <c r="CY126" s="492">
        <f>+CY125</f>
        <v>9171.5482954545478</v>
      </c>
      <c r="CZ126" s="476">
        <f>+CZ125</f>
        <v>733.72386363636497</v>
      </c>
      <c r="DA126" s="476">
        <f t="shared" si="169"/>
        <v>8437.8244318181823</v>
      </c>
      <c r="DB126" s="493">
        <f>+CY$29*DA126+CZ126</f>
        <v>1683.3948418842242</v>
      </c>
      <c r="DC126" s="492">
        <f>+DC125</f>
        <v>545500.74090909283</v>
      </c>
      <c r="DD126" s="476">
        <f>+DD125</f>
        <v>44530.672727272722</v>
      </c>
      <c r="DE126" s="476">
        <f t="shared" si="170"/>
        <v>500970.0681818201</v>
      </c>
      <c r="DF126" s="493">
        <f>+DC$29*DE126+DD126</f>
        <v>100914.48807771961</v>
      </c>
      <c r="DG126" s="492">
        <f>+DG125</f>
        <v>307993.42897727183</v>
      </c>
      <c r="DH126" s="476">
        <f>+DH125</f>
        <v>24639.474318181816</v>
      </c>
      <c r="DI126" s="476">
        <f t="shared" si="171"/>
        <v>283353.95465909003</v>
      </c>
      <c r="DJ126" s="493">
        <f>+DG$29*DI126+DH126</f>
        <v>56530.755001479149</v>
      </c>
      <c r="DK126" s="492">
        <f>+DK125</f>
        <v>6687515.5078409165</v>
      </c>
      <c r="DL126" s="476">
        <f>+DL125</f>
        <v>549658.80886363634</v>
      </c>
      <c r="DM126" s="476">
        <f t="shared" si="172"/>
        <v>6137856.6989772804</v>
      </c>
      <c r="DN126" s="493">
        <f>+DK$29*DM126+DL126</f>
        <v>1240470.0982858918</v>
      </c>
      <c r="DO126" s="492">
        <f>+DO125</f>
        <v>257970.60087121185</v>
      </c>
      <c r="DP126" s="476">
        <f>+DP125</f>
        <v>19592.703863636354</v>
      </c>
      <c r="DQ126" s="476">
        <f t="shared" si="148"/>
        <v>238377.89700757549</v>
      </c>
      <c r="DR126" s="493">
        <f>+DO$29*DQ126+DP126</f>
        <v>46421.962101126264</v>
      </c>
      <c r="DS126" s="492">
        <f>+DS125</f>
        <v>111992.66181818164</v>
      </c>
      <c r="DT126" s="476">
        <f>+DT125</f>
        <v>8295.7527272726966</v>
      </c>
      <c r="DU126" s="476">
        <f t="shared" si="58"/>
        <v>103696.90909090894</v>
      </c>
      <c r="DV126" s="493">
        <f>+DS$29*DU126+DT126</f>
        <v>19966.764122851448</v>
      </c>
      <c r="DW126" s="492">
        <f>+DW125</f>
        <v>16188.365170454497</v>
      </c>
      <c r="DX126" s="476">
        <f>+DX125</f>
        <v>1221.7634090909089</v>
      </c>
      <c r="DY126" s="476">
        <f t="shared" si="59"/>
        <v>14966.601761363589</v>
      </c>
      <c r="DZ126" s="493">
        <f>+DW$29*DY126+DX126</f>
        <v>2906.2435082694597</v>
      </c>
      <c r="EA126" s="492">
        <f>+EA125</f>
        <v>-99090.863806818903</v>
      </c>
      <c r="EB126" s="476">
        <f>+EB125</f>
        <v>-7120.3015909091364</v>
      </c>
      <c r="EC126" s="476">
        <f t="shared" si="60"/>
        <v>-91970.562215909769</v>
      </c>
      <c r="ED126" s="493">
        <f>+EA$29*EC126+EB126</f>
        <v>-17471.521208638042</v>
      </c>
      <c r="EE126" s="576">
        <f>+EE125</f>
        <v>2967638.0613636454</v>
      </c>
      <c r="EF126" s="580">
        <f>+EF125</f>
        <v>192495.44181818186</v>
      </c>
      <c r="EG126" s="580">
        <f t="shared" si="69"/>
        <v>2775142.6195454635</v>
      </c>
      <c r="EH126" s="493">
        <f>+EE$29*EG126+EF126</f>
        <v>504835.71715538448</v>
      </c>
      <c r="EI126" s="576">
        <f>+EI125</f>
        <v>121856.52518939375</v>
      </c>
      <c r="EJ126" s="580">
        <f>+EJ125</f>
        <v>7696.2015909090906</v>
      </c>
      <c r="EK126" s="580">
        <f t="shared" si="70"/>
        <v>114160.32359848467</v>
      </c>
      <c r="EL126" s="493">
        <f>+EI$29*EK126+EJ126</f>
        <v>20544.862648615392</v>
      </c>
      <c r="EM126" s="576">
        <f>+EM125</f>
        <v>4180423.3418181781</v>
      </c>
      <c r="EN126" s="580">
        <f>+EN125</f>
        <v>261276.45886363636</v>
      </c>
      <c r="EO126" s="580">
        <f t="shared" si="71"/>
        <v>3919146.8829545416</v>
      </c>
      <c r="EP126" s="493">
        <f>+EM$29*EO126+EN126</f>
        <v>702373.57866119687</v>
      </c>
      <c r="EQ126" s="576">
        <f>+EQ125</f>
        <v>8259570.0974999852</v>
      </c>
      <c r="ER126" s="580">
        <f>+ER125</f>
        <v>500580.00590909086</v>
      </c>
      <c r="ES126" s="580">
        <f t="shared" si="94"/>
        <v>7758990.0915908944</v>
      </c>
      <c r="ET126" s="493">
        <f>+EQ$29*ES126+ER126</f>
        <v>1373848.6748696286</v>
      </c>
      <c r="EU126" s="576">
        <f>+EU125</f>
        <v>10672458.644999996</v>
      </c>
      <c r="EV126" s="580">
        <f>+EV125</f>
        <v>646815.67545454553</v>
      </c>
      <c r="EW126" s="580">
        <f t="shared" si="95"/>
        <v>10025642.96954545</v>
      </c>
      <c r="EX126" s="493">
        <f>+EU$29*EW126+EV126</f>
        <v>1775194.4706507381</v>
      </c>
      <c r="EY126" s="582">
        <f t="shared" si="103"/>
        <v>19024148.57160335</v>
      </c>
      <c r="EZ126" s="579">
        <f>+EY126</f>
        <v>19024148.57160335</v>
      </c>
      <c r="FA126" s="553"/>
      <c r="FD126" s="492"/>
      <c r="FE126" s="476"/>
      <c r="FF126" s="476"/>
      <c r="FG126" s="493"/>
      <c r="FH126" s="492"/>
      <c r="FI126" s="476"/>
      <c r="FJ126" s="476"/>
      <c r="FK126" s="493"/>
      <c r="FL126" s="492"/>
      <c r="FM126" s="476"/>
      <c r="FN126" s="476"/>
      <c r="FO126" s="493"/>
      <c r="FP126" s="492"/>
      <c r="FQ126" s="476"/>
      <c r="FR126" s="476"/>
      <c r="FS126" s="493"/>
      <c r="FT126" s="492"/>
      <c r="FU126" s="476"/>
      <c r="FV126" s="476"/>
      <c r="FW126" s="493"/>
      <c r="FX126" s="492"/>
      <c r="FY126" s="476"/>
      <c r="FZ126" s="476"/>
      <c r="GA126" s="493"/>
      <c r="GB126" s="492"/>
      <c r="GC126" s="476"/>
      <c r="GD126" s="476"/>
      <c r="GE126" s="493"/>
      <c r="GF126" s="492"/>
      <c r="GG126" s="476"/>
      <c r="GH126" s="476"/>
      <c r="GI126" s="493"/>
      <c r="GJ126" s="492"/>
      <c r="GK126" s="476"/>
      <c r="GL126" s="476"/>
      <c r="GM126" s="493"/>
      <c r="GN126" s="492"/>
      <c r="GO126" s="476"/>
      <c r="GP126" s="476"/>
      <c r="GQ126" s="493"/>
      <c r="GR126" s="492"/>
      <c r="GS126" s="476"/>
      <c r="GT126" s="476"/>
      <c r="GU126" s="493"/>
      <c r="GV126" s="492"/>
      <c r="GW126" s="476"/>
      <c r="GX126" s="476"/>
      <c r="GY126" s="493"/>
      <c r="GZ126" s="492"/>
      <c r="HA126" s="476"/>
      <c r="HB126" s="476"/>
      <c r="HC126" s="493"/>
      <c r="HD126" s="576"/>
      <c r="HE126" s="580"/>
      <c r="HF126" s="580"/>
      <c r="HG126" s="918"/>
      <c r="HH126" s="919"/>
      <c r="HI126" s="925"/>
      <c r="HJ126" s="925"/>
      <c r="HK126" s="918"/>
      <c r="HL126" s="919"/>
      <c r="HM126" s="925"/>
      <c r="HN126" s="925"/>
      <c r="HO126" s="918"/>
      <c r="HP126" s="919"/>
      <c r="HQ126" s="925"/>
      <c r="HR126" s="925"/>
      <c r="HS126" s="918"/>
      <c r="HT126" s="919"/>
      <c r="HU126" s="925"/>
      <c r="HV126" s="925"/>
      <c r="HW126" s="918"/>
      <c r="HY126" s="492"/>
      <c r="HZ126" s="476"/>
      <c r="IA126" s="476"/>
      <c r="IB126" s="493"/>
      <c r="IC126" s="492"/>
      <c r="ID126" s="476"/>
      <c r="IE126" s="476"/>
      <c r="IF126" s="493"/>
      <c r="IG126" s="492"/>
      <c r="IH126" s="476"/>
      <c r="II126" s="476"/>
      <c r="IJ126" s="493"/>
    </row>
    <row r="127" spans="1:244">
      <c r="A127" s="554" t="s">
        <v>24</v>
      </c>
      <c r="B127" s="574">
        <v>2050</v>
      </c>
      <c r="C127" s="575">
        <f>+E126</f>
        <v>1225927.95624999</v>
      </c>
      <c r="D127" s="575">
        <f>+C$31</f>
        <v>445791.98409090913</v>
      </c>
      <c r="E127" s="575">
        <f t="shared" si="150"/>
        <v>780135.97215908091</v>
      </c>
      <c r="F127" s="558">
        <f>+C$28*E127+D127</f>
        <v>533595.71807865403</v>
      </c>
      <c r="G127" s="575">
        <f>+I126</f>
        <v>289601.87386363448</v>
      </c>
      <c r="H127" s="575">
        <f>+G$31</f>
        <v>115840.74954545456</v>
      </c>
      <c r="I127" s="575">
        <f t="shared" si="151"/>
        <v>173761.12431817991</v>
      </c>
      <c r="J127" s="558">
        <f>+G$28*I127+H127</f>
        <v>135397.43720186461</v>
      </c>
      <c r="K127" s="576">
        <f>+M126</f>
        <v>534484.58198863268</v>
      </c>
      <c r="L127" s="575">
        <f>+K$31</f>
        <v>305419.76113636367</v>
      </c>
      <c r="M127" s="575">
        <f t="shared" si="152"/>
        <v>229064.82085226901</v>
      </c>
      <c r="N127" s="558">
        <f>+K$28*M127+L127</f>
        <v>331200.83945326228</v>
      </c>
      <c r="O127" s="576">
        <f>+Q126</f>
        <v>457379.21969696641</v>
      </c>
      <c r="P127" s="575">
        <f>+O$31</f>
        <v>119316.31818181818</v>
      </c>
      <c r="Q127" s="575">
        <f t="shared" si="153"/>
        <v>338062.90151514823</v>
      </c>
      <c r="R127" s="558">
        <f>+O$28*Q127+P127</f>
        <v>157365.05088364577</v>
      </c>
      <c r="S127" s="492">
        <f>+U126</f>
        <v>126350.69515151205</v>
      </c>
      <c r="T127" s="476">
        <f>+S$31</f>
        <v>58315.705454545445</v>
      </c>
      <c r="U127" s="476">
        <f t="shared" si="154"/>
        <v>68034.989696966601</v>
      </c>
      <c r="V127" s="493">
        <f>+S$28*U127+T127</f>
        <v>65972.993863742522</v>
      </c>
      <c r="W127" s="492">
        <f>+Y126</f>
        <v>2657625.5189394043</v>
      </c>
      <c r="X127" s="476">
        <f>+W$31</f>
        <v>693293.61363636365</v>
      </c>
      <c r="Y127" s="476">
        <f t="shared" si="155"/>
        <v>1964331.9053030405</v>
      </c>
      <c r="Z127" s="493">
        <f>+W$28*Y127+X127</f>
        <v>914377.73516396084</v>
      </c>
      <c r="AA127" s="492">
        <f>+AC126</f>
        <v>1765763.7405303009</v>
      </c>
      <c r="AB127" s="476">
        <f>+AA$31</f>
        <v>450833.29545454547</v>
      </c>
      <c r="AC127" s="476">
        <f t="shared" si="156"/>
        <v>1314930.4450757555</v>
      </c>
      <c r="AD127" s="493">
        <f>+AA$28*AC127+AB127</f>
        <v>598827.75684604712</v>
      </c>
      <c r="AE127" s="492">
        <f>+AG126</f>
        <v>16092.602272727338</v>
      </c>
      <c r="AF127" s="476">
        <f>+AE$31</f>
        <v>4597.886363636364</v>
      </c>
      <c r="AG127" s="476">
        <f t="shared" si="157"/>
        <v>11494.715909090974</v>
      </c>
      <c r="AH127" s="493">
        <f>+AE$28*AG127+AF127</f>
        <v>5891.6082454171428</v>
      </c>
      <c r="AI127" s="492">
        <f>+AK126</f>
        <v>1428479.2537878838</v>
      </c>
      <c r="AJ127" s="476">
        <f>+AI$31</f>
        <v>295547.43181818182</v>
      </c>
      <c r="AK127" s="476">
        <f t="shared" si="161"/>
        <v>1132931.8219697019</v>
      </c>
      <c r="AL127" s="493">
        <f>+AI$28*AK127+AJ127</f>
        <v>423058.08107996773</v>
      </c>
      <c r="AM127" s="492">
        <f>+AO126</f>
        <v>498901.1205681822</v>
      </c>
      <c r="AN127" s="476">
        <f>+AM$31</f>
        <v>110866.91568181818</v>
      </c>
      <c r="AO127" s="476">
        <f t="shared" si="158"/>
        <v>388034.20488636405</v>
      </c>
      <c r="AP127" s="493">
        <f>+AM$28*AO127+AN127</f>
        <v>154539.88208752687</v>
      </c>
      <c r="AQ127" s="492">
        <f>+AS126</f>
        <v>4298428.1270454554</v>
      </c>
      <c r="AR127" s="476">
        <f>+AQ$31</f>
        <v>904932.23727272719</v>
      </c>
      <c r="AS127" s="476">
        <f t="shared" si="159"/>
        <v>3393495.8897727281</v>
      </c>
      <c r="AT127" s="493">
        <f>+AQ$28*AS127+AR127</f>
        <v>1286867.7216338455</v>
      </c>
      <c r="AU127" s="575"/>
      <c r="AV127" s="575"/>
      <c r="AW127" s="575"/>
      <c r="AX127" s="558"/>
      <c r="AY127" s="575"/>
      <c r="AZ127" s="575"/>
      <c r="BA127" s="575"/>
      <c r="BB127" s="558"/>
      <c r="BC127" s="575"/>
      <c r="BD127" s="575"/>
      <c r="BE127" s="575"/>
      <c r="BF127" s="558"/>
      <c r="BG127" s="575"/>
      <c r="BH127" s="575"/>
      <c r="BI127" s="575"/>
      <c r="BJ127" s="558"/>
      <c r="BK127" s="575"/>
      <c r="BL127" s="575"/>
      <c r="BM127" s="575"/>
      <c r="BN127" s="558"/>
      <c r="BO127" s="575"/>
      <c r="BP127" s="575"/>
      <c r="BQ127" s="575"/>
      <c r="BR127" s="558"/>
      <c r="BS127" s="492">
        <f>+BU126</f>
        <v>41554.431818182071</v>
      </c>
      <c r="BT127" s="476">
        <f>+BS$31</f>
        <v>8310.886363636364</v>
      </c>
      <c r="BU127" s="476">
        <f t="shared" si="160"/>
        <v>33243.545454545703</v>
      </c>
      <c r="BV127" s="493">
        <f>+BS$28*BU127+BT127</f>
        <v>12052.42312910836</v>
      </c>
      <c r="BW127" s="492">
        <f>+BY126</f>
        <v>3172626.7500000168</v>
      </c>
      <c r="BX127" s="476">
        <f>+BW$31</f>
        <v>576841.22727272729</v>
      </c>
      <c r="BY127" s="476">
        <f t="shared" si="162"/>
        <v>2595785.5227272892</v>
      </c>
      <c r="BZ127" s="493">
        <f>+BW$28*BY127+BX127</f>
        <v>868994.99233499309</v>
      </c>
      <c r="CA127" s="492">
        <f>+CC126</f>
        <v>303922.72000000166</v>
      </c>
      <c r="CB127" s="476">
        <f>+CA$31</f>
        <v>54433.919999999998</v>
      </c>
      <c r="CC127" s="476">
        <f t="shared" si="163"/>
        <v>249488.80000000168</v>
      </c>
      <c r="CD127" s="493">
        <f>+CA$28*CC127+CB127</f>
        <v>82513.702255771816</v>
      </c>
      <c r="CE127" s="492">
        <f>+CG126</f>
        <v>24806.402727272936</v>
      </c>
      <c r="CF127" s="476">
        <f>+CE$31</f>
        <v>4725.0290909090909</v>
      </c>
      <c r="CG127" s="476">
        <f t="shared" si="164"/>
        <v>20081.373636363845</v>
      </c>
      <c r="CH127" s="493">
        <f>+CE$28*CG127+CF127</f>
        <v>6985.1730296586047</v>
      </c>
      <c r="CI127" s="492">
        <f>+CK126</f>
        <v>76236.818181817885</v>
      </c>
      <c r="CJ127" s="476">
        <f>+CI$31</f>
        <v>12362.727272727272</v>
      </c>
      <c r="CK127" s="476">
        <f t="shared" si="165"/>
        <v>63874.090909090613</v>
      </c>
      <c r="CL127" s="493">
        <f>+CI$28*CK127+CJ127</f>
        <v>19551.709561762396</v>
      </c>
      <c r="CM127" s="492">
        <f>+CO126</f>
        <v>5199685.2252841033</v>
      </c>
      <c r="CN127" s="476">
        <f>+CM$31</f>
        <v>483691.64886363636</v>
      </c>
      <c r="CO127" s="476">
        <f t="shared" si="166"/>
        <v>4715993.5764204673</v>
      </c>
      <c r="CP127" s="493">
        <f>+CM$28*CO127+CN127</f>
        <v>1014473.2821293557</v>
      </c>
      <c r="CQ127" s="492">
        <f>+CS126</f>
        <v>21690661.616420463</v>
      </c>
      <c r="CR127" s="476">
        <f>+CQ$31</f>
        <v>2017735.9643181816</v>
      </c>
      <c r="CS127" s="476">
        <f t="shared" si="167"/>
        <v>19672925.65210228</v>
      </c>
      <c r="CT127" s="493">
        <f>+CQ$28*CS127+CR127</f>
        <v>4231909.380700063</v>
      </c>
      <c r="CU127" s="492">
        <f>+CW126</f>
        <v>7438149.0975000188</v>
      </c>
      <c r="CV127" s="476">
        <f>+CU$31</f>
        <v>676195.37250000006</v>
      </c>
      <c r="CW127" s="476">
        <f t="shared" si="168"/>
        <v>6761953.7250000183</v>
      </c>
      <c r="CX127" s="493">
        <f>+CU$28*CW127+CV127</f>
        <v>1437248.3264666884</v>
      </c>
      <c r="CY127" s="492">
        <f>+DA126</f>
        <v>8437.8244318181823</v>
      </c>
      <c r="CZ127" s="476">
        <f>+CY$31</f>
        <v>733.72386363636497</v>
      </c>
      <c r="DA127" s="476">
        <f t="shared" si="169"/>
        <v>7704.1005681818169</v>
      </c>
      <c r="DB127" s="493">
        <f>+CY$28*DA127+CZ127</f>
        <v>1600.8147568191926</v>
      </c>
      <c r="DC127" s="492">
        <f>+DE126</f>
        <v>500970.0681818201</v>
      </c>
      <c r="DD127" s="476">
        <f>+DC$31</f>
        <v>44530.672727272722</v>
      </c>
      <c r="DE127" s="476">
        <f t="shared" si="170"/>
        <v>456439.39545454737</v>
      </c>
      <c r="DF127" s="493">
        <f>+DC$28*DE127+DD127</f>
        <v>95902.59337990213</v>
      </c>
      <c r="DG127" s="492">
        <f>+DI126</f>
        <v>283353.95465909003</v>
      </c>
      <c r="DH127" s="476">
        <f>+DG$31</f>
        <v>24639.474318181816</v>
      </c>
      <c r="DI127" s="476">
        <f t="shared" si="171"/>
        <v>258714.48034090822</v>
      </c>
      <c r="DJ127" s="493">
        <f>+DG$28*DI127+DH127</f>
        <v>53757.600159453286</v>
      </c>
      <c r="DK127" s="492">
        <f>+DM126</f>
        <v>6137856.6989772804</v>
      </c>
      <c r="DL127" s="476">
        <f>+DK$31</f>
        <v>549658.80886363634</v>
      </c>
      <c r="DM127" s="476">
        <f t="shared" si="172"/>
        <v>5588197.8901136443</v>
      </c>
      <c r="DN127" s="493">
        <f>+DK$28*DM127+DL127</f>
        <v>1178606.4007256899</v>
      </c>
      <c r="DO127" s="492">
        <f>+DQ126</f>
        <v>238377.89700757549</v>
      </c>
      <c r="DP127" s="476">
        <f>+DO$31</f>
        <v>19592.703863636354</v>
      </c>
      <c r="DQ127" s="476">
        <f t="shared" si="148"/>
        <v>218785.19314393913</v>
      </c>
      <c r="DR127" s="493">
        <f>+DO$28*DQ127+DP127</f>
        <v>44216.817588455859</v>
      </c>
      <c r="DS127" s="492">
        <f>+DU126</f>
        <v>103696.90909090894</v>
      </c>
      <c r="DT127" s="476">
        <f>+DS$31</f>
        <v>8295.7527272726966</v>
      </c>
      <c r="DU127" s="476">
        <f t="shared" si="58"/>
        <v>95401.156363636241</v>
      </c>
      <c r="DV127" s="493">
        <f>+DS$28*DU127+DT127</f>
        <v>19033.08321120515</v>
      </c>
      <c r="DW127" s="492">
        <f>+DY126</f>
        <v>14966.601761363589</v>
      </c>
      <c r="DX127" s="476">
        <f>+DW$31</f>
        <v>1221.7634090909089</v>
      </c>
      <c r="DY127" s="476">
        <f t="shared" si="59"/>
        <v>13744.83835227268</v>
      </c>
      <c r="DZ127" s="493">
        <f>+DW$28*DY127+DX127</f>
        <v>2768.7349287446796</v>
      </c>
      <c r="EA127" s="492">
        <f>+EC126</f>
        <v>-91970.562215909769</v>
      </c>
      <c r="EB127" s="476">
        <f>+EA$31</f>
        <v>-7120.3015909091364</v>
      </c>
      <c r="EC127" s="476">
        <f t="shared" si="60"/>
        <v>-84850.260625000636</v>
      </c>
      <c r="ED127" s="493">
        <f>+EA$28*EC127+EB127</f>
        <v>-16670.136464039675</v>
      </c>
      <c r="EE127" s="576">
        <f>+EG126</f>
        <v>2775142.6195454635</v>
      </c>
      <c r="EF127" s="580">
        <f>+EE$31</f>
        <v>192495.44181818186</v>
      </c>
      <c r="EG127" s="580">
        <f t="shared" si="69"/>
        <v>2582647.1777272816</v>
      </c>
      <c r="EH127" s="493">
        <f>+EE$28*EG127+EF127</f>
        <v>483170.4957447116</v>
      </c>
      <c r="EI127" s="576">
        <f>+EK126</f>
        <v>114160.32359848467</v>
      </c>
      <c r="EJ127" s="580">
        <f>+EI$31</f>
        <v>7696.2015909090906</v>
      </c>
      <c r="EK127" s="580">
        <f t="shared" si="70"/>
        <v>106464.12200757558</v>
      </c>
      <c r="EL127" s="493">
        <f>+EI$28*EK127+EJ127</f>
        <v>19678.66077955654</v>
      </c>
      <c r="EM127" s="576">
        <f>+EO126</f>
        <v>3919146.8829545416</v>
      </c>
      <c r="EN127" s="580">
        <f>+EM$31</f>
        <v>261276.45886363636</v>
      </c>
      <c r="EO127" s="580">
        <f t="shared" si="71"/>
        <v>3657870.4240909051</v>
      </c>
      <c r="EP127" s="493">
        <f>+EM$28*EO127+EN127</f>
        <v>672967.10400802607</v>
      </c>
      <c r="EQ127" s="576">
        <f>+ES126</f>
        <v>7758990.0915908944</v>
      </c>
      <c r="ER127" s="580">
        <f>+EQ$31</f>
        <v>500580.00590909086</v>
      </c>
      <c r="ES127" s="580">
        <f t="shared" si="94"/>
        <v>7258410.0856818035</v>
      </c>
      <c r="ET127" s="493">
        <f>+EQ$28*ES127+ER127</f>
        <v>1317508.7607431421</v>
      </c>
      <c r="EU127" s="576">
        <f>+EW126</f>
        <v>10025642.96954545</v>
      </c>
      <c r="EV127" s="580">
        <f>+EU$31</f>
        <v>646815.67545454553</v>
      </c>
      <c r="EW127" s="580">
        <f t="shared" si="95"/>
        <v>9378827.2940909043</v>
      </c>
      <c r="EX127" s="493">
        <f>+EU$28*EW127+EV127</f>
        <v>1702395.8387025965</v>
      </c>
      <c r="EY127" s="582">
        <f t="shared" si="103"/>
        <v>17855760.582409602</v>
      </c>
      <c r="EZ127" s="557"/>
      <c r="FA127" s="578">
        <f>+EY127</f>
        <v>17855760.582409602</v>
      </c>
      <c r="FD127" s="492"/>
      <c r="FE127" s="476"/>
      <c r="FF127" s="476"/>
      <c r="FG127" s="493"/>
      <c r="FH127" s="492"/>
      <c r="FI127" s="476"/>
      <c r="FJ127" s="476"/>
      <c r="FK127" s="493"/>
      <c r="FL127" s="492"/>
      <c r="FM127" s="476"/>
      <c r="FN127" s="476"/>
      <c r="FO127" s="493"/>
      <c r="FP127" s="492"/>
      <c r="FQ127" s="476"/>
      <c r="FR127" s="476"/>
      <c r="FS127" s="493"/>
      <c r="FT127" s="492"/>
      <c r="FU127" s="476"/>
      <c r="FV127" s="476"/>
      <c r="FW127" s="493"/>
      <c r="FX127" s="492"/>
      <c r="FY127" s="476"/>
      <c r="FZ127" s="476"/>
      <c r="GA127" s="493"/>
      <c r="GB127" s="492"/>
      <c r="GC127" s="476"/>
      <c r="GD127" s="476"/>
      <c r="GE127" s="493"/>
      <c r="GF127" s="492"/>
      <c r="GG127" s="476"/>
      <c r="GH127" s="476"/>
      <c r="GI127" s="493"/>
      <c r="GJ127" s="492"/>
      <c r="GK127" s="476"/>
      <c r="GL127" s="476"/>
      <c r="GM127" s="493"/>
      <c r="GN127" s="492"/>
      <c r="GO127" s="476"/>
      <c r="GP127" s="476"/>
      <c r="GQ127" s="493"/>
      <c r="GR127" s="492"/>
      <c r="GS127" s="476"/>
      <c r="GT127" s="476"/>
      <c r="GU127" s="493"/>
      <c r="GV127" s="492"/>
      <c r="GW127" s="476"/>
      <c r="GX127" s="476"/>
      <c r="GY127" s="493"/>
      <c r="GZ127" s="492"/>
      <c r="HA127" s="476"/>
      <c r="HB127" s="476"/>
      <c r="HC127" s="493"/>
      <c r="HD127" s="576"/>
      <c r="HE127" s="580"/>
      <c r="HF127" s="580"/>
      <c r="HG127" s="918"/>
      <c r="HH127" s="919"/>
      <c r="HI127" s="925"/>
      <c r="HJ127" s="925"/>
      <c r="HK127" s="918"/>
      <c r="HL127" s="919"/>
      <c r="HM127" s="925"/>
      <c r="HN127" s="925"/>
      <c r="HO127" s="918"/>
      <c r="HP127" s="919"/>
      <c r="HQ127" s="925"/>
      <c r="HR127" s="925"/>
      <c r="HS127" s="918"/>
      <c r="HT127" s="919"/>
      <c r="HU127" s="925"/>
      <c r="HV127" s="925"/>
      <c r="HW127" s="918"/>
      <c r="HY127" s="492"/>
      <c r="HZ127" s="476"/>
      <c r="IA127" s="476"/>
      <c r="IB127" s="493"/>
      <c r="IC127" s="492"/>
      <c r="ID127" s="476"/>
      <c r="IE127" s="476"/>
      <c r="IF127" s="493"/>
      <c r="IG127" s="492"/>
      <c r="IH127" s="476"/>
      <c r="II127" s="476"/>
      <c r="IJ127" s="493"/>
    </row>
    <row r="128" spans="1:244">
      <c r="A128" s="554" t="s">
        <v>23</v>
      </c>
      <c r="B128" s="574">
        <v>2050</v>
      </c>
      <c r="C128" s="575">
        <f>+C127</f>
        <v>1225927.95624999</v>
      </c>
      <c r="D128" s="575">
        <f>+D127</f>
        <v>445791.98409090913</v>
      </c>
      <c r="E128" s="575">
        <f t="shared" si="150"/>
        <v>780135.97215908091</v>
      </c>
      <c r="F128" s="558">
        <f>+C$29*E128+D128</f>
        <v>538680.85169511731</v>
      </c>
      <c r="G128" s="575">
        <f>+G127</f>
        <v>289601.87386363448</v>
      </c>
      <c r="H128" s="575">
        <f>+H127</f>
        <v>115840.74954545456</v>
      </c>
      <c r="I128" s="575">
        <f t="shared" si="151"/>
        <v>173761.12431817991</v>
      </c>
      <c r="J128" s="558">
        <f>+G$29*I128+H128</f>
        <v>136530.05839360302</v>
      </c>
      <c r="K128" s="576">
        <f>+K127</f>
        <v>534484.58198863268</v>
      </c>
      <c r="L128" s="575">
        <f>+L127</f>
        <v>305419.76113636367</v>
      </c>
      <c r="M128" s="575">
        <f t="shared" si="152"/>
        <v>229064.82085226901</v>
      </c>
      <c r="N128" s="558">
        <f>+K$29*M128+L128</f>
        <v>332693.94483800849</v>
      </c>
      <c r="O128" s="576">
        <f>+O127</f>
        <v>457379.21969696641</v>
      </c>
      <c r="P128" s="575">
        <f>+P127</f>
        <v>119316.31818181818</v>
      </c>
      <c r="Q128" s="575">
        <f t="shared" si="153"/>
        <v>338062.90151514823</v>
      </c>
      <c r="R128" s="558">
        <f>+O$29*Q128+P128</f>
        <v>159568.63472841587</v>
      </c>
      <c r="S128" s="492">
        <f>+S127</f>
        <v>126350.69515151205</v>
      </c>
      <c r="T128" s="476">
        <f>+T127</f>
        <v>58315.705454545445</v>
      </c>
      <c r="U128" s="476">
        <f t="shared" si="154"/>
        <v>68034.989696966601</v>
      </c>
      <c r="V128" s="493">
        <f>+S$29*U128+T128</f>
        <v>66416.46400939711</v>
      </c>
      <c r="W128" s="492">
        <f>+W127</f>
        <v>2657625.5189394043</v>
      </c>
      <c r="X128" s="476">
        <f>+X127</f>
        <v>693293.61363636365</v>
      </c>
      <c r="Y128" s="476">
        <f t="shared" si="155"/>
        <v>1964331.9053030405</v>
      </c>
      <c r="Z128" s="493">
        <f>+W$29*Y128+X128</f>
        <v>927181.77261643554</v>
      </c>
      <c r="AA128" s="492">
        <f>+AA127</f>
        <v>1765763.7405303009</v>
      </c>
      <c r="AB128" s="476">
        <f>+AB127</f>
        <v>450833.29545454547</v>
      </c>
      <c r="AC128" s="476">
        <f t="shared" si="156"/>
        <v>1314930.4450757555</v>
      </c>
      <c r="AD128" s="493">
        <f>+AA$29*AC128+AB128</f>
        <v>607398.8229783522</v>
      </c>
      <c r="AE128" s="492">
        <f>+AE127</f>
        <v>16092.602272727338</v>
      </c>
      <c r="AF128" s="476">
        <f>+AF127</f>
        <v>4597.886363636364</v>
      </c>
      <c r="AG128" s="476">
        <f t="shared" si="157"/>
        <v>11494.715909090974</v>
      </c>
      <c r="AH128" s="493">
        <f>+AE$29*AG128+AF128</f>
        <v>5966.5338588576333</v>
      </c>
      <c r="AI128" s="492">
        <f>+AI127</f>
        <v>1428479.2537878838</v>
      </c>
      <c r="AJ128" s="476">
        <f>+AJ127</f>
        <v>295547.43181818182</v>
      </c>
      <c r="AK128" s="476">
        <f t="shared" si="161"/>
        <v>1132931.8219697019</v>
      </c>
      <c r="AL128" s="493">
        <f>+AI$29*AK128+AJ128</f>
        <v>430442.83181401563</v>
      </c>
      <c r="AM128" s="492">
        <f>+AM127</f>
        <v>498901.1205681822</v>
      </c>
      <c r="AN128" s="476">
        <f>+AN127</f>
        <v>110866.91568181818</v>
      </c>
      <c r="AO128" s="476">
        <f t="shared" si="158"/>
        <v>388034.20488636405</v>
      </c>
      <c r="AP128" s="493">
        <f>+AM$29*AO128+AN128</f>
        <v>157069.1921693889</v>
      </c>
      <c r="AQ128" s="492">
        <f>+AQ127</f>
        <v>4298428.1270454554</v>
      </c>
      <c r="AR128" s="476">
        <f>+AR127</f>
        <v>904932.23727272719</v>
      </c>
      <c r="AS128" s="476">
        <f t="shared" si="159"/>
        <v>3393495.8897727281</v>
      </c>
      <c r="AT128" s="493">
        <f>+AQ$29*AS128+AR128</f>
        <v>1308987.4297901746</v>
      </c>
      <c r="AU128" s="575"/>
      <c r="AV128" s="575"/>
      <c r="AW128" s="575"/>
      <c r="AX128" s="558"/>
      <c r="AY128" s="575"/>
      <c r="AZ128" s="575"/>
      <c r="BA128" s="575"/>
      <c r="BB128" s="558"/>
      <c r="BC128" s="575"/>
      <c r="BD128" s="575"/>
      <c r="BE128" s="575"/>
      <c r="BF128" s="558"/>
      <c r="BG128" s="575"/>
      <c r="BH128" s="575"/>
      <c r="BI128" s="575"/>
      <c r="BJ128" s="558"/>
      <c r="BK128" s="575"/>
      <c r="BL128" s="575"/>
      <c r="BM128" s="575"/>
      <c r="BN128" s="558"/>
      <c r="BO128" s="575"/>
      <c r="BP128" s="575"/>
      <c r="BQ128" s="575"/>
      <c r="BR128" s="558"/>
      <c r="BS128" s="492">
        <f>+BS127</f>
        <v>41554.431818182071</v>
      </c>
      <c r="BT128" s="476">
        <f>+BT127</f>
        <v>8310.886363636364</v>
      </c>
      <c r="BU128" s="476">
        <f t="shared" si="160"/>
        <v>33243.545454545703</v>
      </c>
      <c r="BV128" s="493">
        <f>+BS$29*BU128+BT128</f>
        <v>12269.113394080348</v>
      </c>
      <c r="BW128" s="492">
        <f>+BW127</f>
        <v>3172626.7500000168</v>
      </c>
      <c r="BX128" s="476">
        <f>+BX127</f>
        <v>576841.22727272729</v>
      </c>
      <c r="BY128" s="476">
        <f t="shared" si="162"/>
        <v>2595785.5227272892</v>
      </c>
      <c r="BZ128" s="493">
        <f>+BW$29*BY128+BX128</f>
        <v>868994.99233499309</v>
      </c>
      <c r="CA128" s="492">
        <f>+CA127</f>
        <v>303922.72000000166</v>
      </c>
      <c r="CB128" s="476">
        <f>+CB127</f>
        <v>54433.919999999998</v>
      </c>
      <c r="CC128" s="476">
        <f t="shared" si="163"/>
        <v>249488.80000000168</v>
      </c>
      <c r="CD128" s="493">
        <f>+CA$29*CC128+CB128</f>
        <v>84139.936565029318</v>
      </c>
      <c r="CE128" s="492">
        <f>+CE127</f>
        <v>24806.402727272936</v>
      </c>
      <c r="CF128" s="476">
        <f>+CF127</f>
        <v>4725.0290909090909</v>
      </c>
      <c r="CG128" s="476">
        <f t="shared" si="164"/>
        <v>20081.373636363845</v>
      </c>
      <c r="CH128" s="493">
        <f>+CE$29*CG128+CF128</f>
        <v>7116.0687603866927</v>
      </c>
      <c r="CI128" s="492">
        <f>+CI127</f>
        <v>76236.818181817885</v>
      </c>
      <c r="CJ128" s="476">
        <f>+CJ127</f>
        <v>12362.727272727272</v>
      </c>
      <c r="CK128" s="476">
        <f t="shared" si="165"/>
        <v>63874.090909090613</v>
      </c>
      <c r="CL128" s="493">
        <f>+CI$29*CK128+CJ128</f>
        <v>19551.709561762396</v>
      </c>
      <c r="CM128" s="492">
        <f>+CM127</f>
        <v>5199685.2252841033</v>
      </c>
      <c r="CN128" s="476">
        <f>+CN127</f>
        <v>483691.64886363636</v>
      </c>
      <c r="CO128" s="476">
        <f t="shared" si="166"/>
        <v>4715993.5764204673</v>
      </c>
      <c r="CP128" s="493">
        <f>+CM$29*CO128+CN128</f>
        <v>1014473.2821293557</v>
      </c>
      <c r="CQ128" s="492">
        <f>+CQ127</f>
        <v>21690661.616420463</v>
      </c>
      <c r="CR128" s="476">
        <f>+CR127</f>
        <v>2017735.9643181816</v>
      </c>
      <c r="CS128" s="476">
        <f t="shared" si="167"/>
        <v>19672925.65210228</v>
      </c>
      <c r="CT128" s="493">
        <f>+CQ$29*CS128+CR128</f>
        <v>4231909.380700063</v>
      </c>
      <c r="CU128" s="492">
        <f>+CU127</f>
        <v>7438149.0975000188</v>
      </c>
      <c r="CV128" s="476">
        <f>+CV127</f>
        <v>676195.37250000006</v>
      </c>
      <c r="CW128" s="476">
        <f t="shared" si="168"/>
        <v>6761953.7250000183</v>
      </c>
      <c r="CX128" s="493">
        <f>+CU$29*CW128+CV128</f>
        <v>1437248.3264666884</v>
      </c>
      <c r="CY128" s="492">
        <f>+CY127</f>
        <v>8437.8244318181823</v>
      </c>
      <c r="CZ128" s="476">
        <f>+CZ127</f>
        <v>733.72386363636497</v>
      </c>
      <c r="DA128" s="476">
        <f t="shared" si="169"/>
        <v>7704.1005681818169</v>
      </c>
      <c r="DB128" s="493">
        <f>+CY$29*DA128+CZ128</f>
        <v>1600.8147568191926</v>
      </c>
      <c r="DC128" s="492">
        <f>+DC127</f>
        <v>500970.0681818201</v>
      </c>
      <c r="DD128" s="476">
        <f>+DD127</f>
        <v>44530.672727272722</v>
      </c>
      <c r="DE128" s="476">
        <f t="shared" si="170"/>
        <v>456439.39545454737</v>
      </c>
      <c r="DF128" s="493">
        <f>+DC$29*DE128+DD128</f>
        <v>95902.59337990213</v>
      </c>
      <c r="DG128" s="492">
        <f>+DG127</f>
        <v>283353.95465909003</v>
      </c>
      <c r="DH128" s="476">
        <f>+DH127</f>
        <v>24639.474318181816</v>
      </c>
      <c r="DI128" s="476">
        <f t="shared" si="171"/>
        <v>258714.48034090822</v>
      </c>
      <c r="DJ128" s="493">
        <f>+DG$29*DI128+DH128</f>
        <v>53757.600159453286</v>
      </c>
      <c r="DK128" s="492">
        <f>+DK127</f>
        <v>6137856.6989772804</v>
      </c>
      <c r="DL128" s="476">
        <f>+DL127</f>
        <v>549658.80886363634</v>
      </c>
      <c r="DM128" s="476">
        <f t="shared" si="172"/>
        <v>5588197.8901136443</v>
      </c>
      <c r="DN128" s="493">
        <f>+DK$29*DM128+DL128</f>
        <v>1178606.4007256899</v>
      </c>
      <c r="DO128" s="492">
        <f>+DO127</f>
        <v>238377.89700757549</v>
      </c>
      <c r="DP128" s="476">
        <f>+DP127</f>
        <v>19592.703863636354</v>
      </c>
      <c r="DQ128" s="476">
        <f t="shared" si="148"/>
        <v>218785.19314393913</v>
      </c>
      <c r="DR128" s="493">
        <f>+DO$29*DQ128+DP128</f>
        <v>44216.817588455859</v>
      </c>
      <c r="DS128" s="492">
        <f>+DS127</f>
        <v>103696.90909090894</v>
      </c>
      <c r="DT128" s="476">
        <f>+DT127</f>
        <v>8295.7527272726966</v>
      </c>
      <c r="DU128" s="476">
        <f t="shared" ref="DU128:DU152" si="173">+DS128-DT128</f>
        <v>95401.156363636241</v>
      </c>
      <c r="DV128" s="493">
        <f>+DS$29*DU128+DT128</f>
        <v>19033.08321120515</v>
      </c>
      <c r="DW128" s="492">
        <f>+DW127</f>
        <v>14966.601761363589</v>
      </c>
      <c r="DX128" s="476">
        <f>+DX127</f>
        <v>1221.7634090909089</v>
      </c>
      <c r="DY128" s="476">
        <f t="shared" ref="DY128:DY152" si="174">+DW128-DX128</f>
        <v>13744.83835227268</v>
      </c>
      <c r="DZ128" s="493">
        <f>+DW$29*DY128+DX128</f>
        <v>2768.7349287446796</v>
      </c>
      <c r="EA128" s="492">
        <f>+EA127</f>
        <v>-91970.562215909769</v>
      </c>
      <c r="EB128" s="476">
        <f>+EB127</f>
        <v>-7120.3015909091364</v>
      </c>
      <c r="EC128" s="476">
        <f t="shared" ref="EC128:EC152" si="175">+EA128-EB128</f>
        <v>-84850.260625000636</v>
      </c>
      <c r="ED128" s="493">
        <f>+EA$29*EC128+EB128</f>
        <v>-16670.136464039675</v>
      </c>
      <c r="EE128" s="576">
        <f>+EE127</f>
        <v>2775142.6195454635</v>
      </c>
      <c r="EF128" s="580">
        <f>+EF127</f>
        <v>192495.44181818186</v>
      </c>
      <c r="EG128" s="580">
        <f t="shared" si="69"/>
        <v>2582647.1777272816</v>
      </c>
      <c r="EH128" s="493">
        <f>+EE$29*EG128+EF128</f>
        <v>483170.4957447116</v>
      </c>
      <c r="EI128" s="576">
        <f>+EI127</f>
        <v>114160.32359848467</v>
      </c>
      <c r="EJ128" s="580">
        <f>+EJ127</f>
        <v>7696.2015909090906</v>
      </c>
      <c r="EK128" s="580">
        <f t="shared" si="70"/>
        <v>106464.12200757558</v>
      </c>
      <c r="EL128" s="493">
        <f>+EI$29*EK128+EJ128</f>
        <v>19678.66077955654</v>
      </c>
      <c r="EM128" s="576">
        <f>+EM127</f>
        <v>3919146.8829545416</v>
      </c>
      <c r="EN128" s="580">
        <f>+EN127</f>
        <v>261276.45886363636</v>
      </c>
      <c r="EO128" s="580">
        <f t="shared" si="71"/>
        <v>3657870.4240909051</v>
      </c>
      <c r="EP128" s="493">
        <f>+EM$29*EO128+EN128</f>
        <v>672967.10400802607</v>
      </c>
      <c r="EQ128" s="576">
        <f>+EQ127</f>
        <v>7758990.0915908944</v>
      </c>
      <c r="ER128" s="580">
        <f>+ER127</f>
        <v>500580.00590909086</v>
      </c>
      <c r="ES128" s="580">
        <f t="shared" si="94"/>
        <v>7258410.0856818035</v>
      </c>
      <c r="ET128" s="493">
        <f>+EQ$29*ES128+ER128</f>
        <v>1317508.7607431421</v>
      </c>
      <c r="EU128" s="576">
        <f>+EU127</f>
        <v>10025642.96954545</v>
      </c>
      <c r="EV128" s="580">
        <f>+EV127</f>
        <v>646815.67545454553</v>
      </c>
      <c r="EW128" s="580">
        <f t="shared" si="95"/>
        <v>9378827.2940909043</v>
      </c>
      <c r="EX128" s="493">
        <f>+EU$29*EW128+EV128</f>
        <v>1702395.8387025965</v>
      </c>
      <c r="EY128" s="582">
        <f t="shared" si="103"/>
        <v>17921576.115068391</v>
      </c>
      <c r="EZ128" s="579">
        <f>+EY128</f>
        <v>17921576.115068391</v>
      </c>
      <c r="FA128" s="553"/>
      <c r="FD128" s="492"/>
      <c r="FE128" s="476"/>
      <c r="FF128" s="476"/>
      <c r="FG128" s="493"/>
      <c r="FH128" s="492"/>
      <c r="FI128" s="476"/>
      <c r="FJ128" s="476"/>
      <c r="FK128" s="493"/>
      <c r="FL128" s="492"/>
      <c r="FM128" s="476"/>
      <c r="FN128" s="476"/>
      <c r="FO128" s="493"/>
      <c r="FP128" s="492"/>
      <c r="FQ128" s="476"/>
      <c r="FR128" s="476"/>
      <c r="FS128" s="493"/>
      <c r="FT128" s="492"/>
      <c r="FU128" s="476"/>
      <c r="FV128" s="476"/>
      <c r="FW128" s="493"/>
      <c r="FX128" s="492"/>
      <c r="FY128" s="476"/>
      <c r="FZ128" s="476"/>
      <c r="GA128" s="493"/>
      <c r="GB128" s="492"/>
      <c r="GC128" s="476"/>
      <c r="GD128" s="476"/>
      <c r="GE128" s="493"/>
      <c r="GF128" s="492"/>
      <c r="GG128" s="476"/>
      <c r="GH128" s="476"/>
      <c r="GI128" s="493"/>
      <c r="GJ128" s="492"/>
      <c r="GK128" s="476"/>
      <c r="GL128" s="476"/>
      <c r="GM128" s="493"/>
      <c r="GN128" s="492"/>
      <c r="GO128" s="476"/>
      <c r="GP128" s="476"/>
      <c r="GQ128" s="493"/>
      <c r="GR128" s="492"/>
      <c r="GS128" s="476"/>
      <c r="GT128" s="476"/>
      <c r="GU128" s="493"/>
      <c r="GV128" s="492"/>
      <c r="GW128" s="476"/>
      <c r="GX128" s="476"/>
      <c r="GY128" s="493"/>
      <c r="GZ128" s="492"/>
      <c r="HA128" s="476"/>
      <c r="HB128" s="476"/>
      <c r="HC128" s="493"/>
      <c r="HD128" s="576"/>
      <c r="HE128" s="580"/>
      <c r="HF128" s="580"/>
      <c r="HG128" s="918"/>
      <c r="HH128" s="919"/>
      <c r="HI128" s="925"/>
      <c r="HJ128" s="925"/>
      <c r="HK128" s="918"/>
      <c r="HL128" s="919"/>
      <c r="HM128" s="925"/>
      <c r="HN128" s="925"/>
      <c r="HO128" s="918"/>
      <c r="HP128" s="919"/>
      <c r="HQ128" s="925"/>
      <c r="HR128" s="925"/>
      <c r="HS128" s="918"/>
      <c r="HT128" s="919"/>
      <c r="HU128" s="925"/>
      <c r="HV128" s="925"/>
      <c r="HW128" s="918"/>
      <c r="HY128" s="492"/>
      <c r="HZ128" s="476"/>
      <c r="IA128" s="476"/>
      <c r="IB128" s="493"/>
      <c r="IC128" s="492"/>
      <c r="ID128" s="476"/>
      <c r="IE128" s="476"/>
      <c r="IF128" s="493"/>
      <c r="IG128" s="492"/>
      <c r="IH128" s="476"/>
      <c r="II128" s="476"/>
      <c r="IJ128" s="493"/>
    </row>
    <row r="129" spans="1:244">
      <c r="A129" s="554" t="s">
        <v>24</v>
      </c>
      <c r="B129" s="574">
        <v>2051</v>
      </c>
      <c r="C129" s="575">
        <f>+E128</f>
        <v>780135.97215908091</v>
      </c>
      <c r="D129" s="575">
        <f>+C$31</f>
        <v>445791.98409090913</v>
      </c>
      <c r="E129" s="575">
        <f t="shared" si="150"/>
        <v>334343.98806817178</v>
      </c>
      <c r="F129" s="558">
        <f>+C$28*E129+D129</f>
        <v>483422.15579994203</v>
      </c>
      <c r="G129" s="575">
        <f>+I128</f>
        <v>173761.12431817991</v>
      </c>
      <c r="H129" s="575">
        <f>+G$31</f>
        <v>115840.74954545456</v>
      </c>
      <c r="I129" s="575">
        <f t="shared" si="151"/>
        <v>57920.37477272535</v>
      </c>
      <c r="J129" s="558">
        <f>+G$28*I129+H129</f>
        <v>122359.64543092443</v>
      </c>
      <c r="K129" s="576">
        <f>+M128</f>
        <v>229064.82085226901</v>
      </c>
      <c r="L129" s="575">
        <f>+M127</f>
        <v>229064.82085226901</v>
      </c>
      <c r="M129" s="575">
        <f t="shared" si="152"/>
        <v>0</v>
      </c>
      <c r="N129" s="558">
        <f>+K$28*M129+L129</f>
        <v>229064.82085226901</v>
      </c>
      <c r="O129" s="576">
        <f>+Q128</f>
        <v>338062.90151514823</v>
      </c>
      <c r="P129" s="575">
        <f>+O$31</f>
        <v>119316.31818181818</v>
      </c>
      <c r="Q129" s="575">
        <f t="shared" si="153"/>
        <v>218746.58333333005</v>
      </c>
      <c r="R129" s="558">
        <f>+O$28*Q129+P129</f>
        <v>143936.08640064768</v>
      </c>
      <c r="S129" s="492">
        <f>+U128</f>
        <v>68034.989696966601</v>
      </c>
      <c r="T129" s="476">
        <f>+S$31</f>
        <v>58315.705454545445</v>
      </c>
      <c r="U129" s="476">
        <f t="shared" si="154"/>
        <v>9719.2842424211558</v>
      </c>
      <c r="V129" s="493">
        <f>+S$28*U129+T129</f>
        <v>59409.603798716162</v>
      </c>
      <c r="W129" s="492">
        <f>+Y128</f>
        <v>1964331.9053030405</v>
      </c>
      <c r="X129" s="476">
        <f>+W$31</f>
        <v>693293.61363636365</v>
      </c>
      <c r="Y129" s="476">
        <f t="shared" si="155"/>
        <v>1271038.2916666768</v>
      </c>
      <c r="Z129" s="493">
        <f>+W$28*Y129+X129</f>
        <v>836348.0452130445</v>
      </c>
      <c r="AA129" s="492">
        <f>+AC128</f>
        <v>1314930.4450757555</v>
      </c>
      <c r="AB129" s="476">
        <f>+AA$31</f>
        <v>450833.29545454547</v>
      </c>
      <c r="AC129" s="476">
        <f t="shared" si="156"/>
        <v>864097.14962121006</v>
      </c>
      <c r="AD129" s="493">
        <f>+AA$28*AC129+AB129</f>
        <v>548086.79865467502</v>
      </c>
      <c r="AE129" s="492">
        <f>+AG128</f>
        <v>11494.715909090974</v>
      </c>
      <c r="AF129" s="476">
        <f>+AE$31</f>
        <v>4597.886363636364</v>
      </c>
      <c r="AG129" s="476">
        <f t="shared" si="157"/>
        <v>6896.8295454546096</v>
      </c>
      <c r="AH129" s="493">
        <f>+AE$28*AG129+AF129</f>
        <v>5374.1194927048346</v>
      </c>
      <c r="AI129" s="492">
        <f>+AK128</f>
        <v>1132931.8219697019</v>
      </c>
      <c r="AJ129" s="476">
        <f>+AI$31</f>
        <v>295547.43181818182</v>
      </c>
      <c r="AK129" s="476">
        <f t="shared" si="161"/>
        <v>837384.39015152003</v>
      </c>
      <c r="AL129" s="493">
        <f>+AI$28*AK129+AJ129</f>
        <v>389794.43344645848</v>
      </c>
      <c r="AM129" s="492">
        <f>+AO128</f>
        <v>388034.20488636405</v>
      </c>
      <c r="AN129" s="476">
        <f>+AM$31</f>
        <v>110866.91568181818</v>
      </c>
      <c r="AO129" s="476">
        <f t="shared" si="158"/>
        <v>277167.2892045459</v>
      </c>
      <c r="AP129" s="493">
        <f>+AM$28*AO129+AN129</f>
        <v>142061.89168589583</v>
      </c>
      <c r="AQ129" s="492">
        <f>+AS128</f>
        <v>3393495.8897727281</v>
      </c>
      <c r="AR129" s="476">
        <f>+AQ$31</f>
        <v>904932.23727272719</v>
      </c>
      <c r="AS129" s="476">
        <f t="shared" si="159"/>
        <v>2488563.6525000008</v>
      </c>
      <c r="AT129" s="493">
        <f>+AQ$28*AS129+AR129</f>
        <v>1185018.2591375473</v>
      </c>
      <c r="AU129" s="575"/>
      <c r="AV129" s="575"/>
      <c r="AW129" s="575"/>
      <c r="AX129" s="558"/>
      <c r="AY129" s="575"/>
      <c r="AZ129" s="575"/>
      <c r="BA129" s="575"/>
      <c r="BB129" s="558"/>
      <c r="BC129" s="575"/>
      <c r="BD129" s="575"/>
      <c r="BE129" s="575"/>
      <c r="BF129" s="558"/>
      <c r="BG129" s="575"/>
      <c r="BH129" s="575"/>
      <c r="BI129" s="575"/>
      <c r="BJ129" s="558"/>
      <c r="BK129" s="575"/>
      <c r="BL129" s="575"/>
      <c r="BM129" s="575"/>
      <c r="BN129" s="558"/>
      <c r="BO129" s="575"/>
      <c r="BP129" s="575"/>
      <c r="BQ129" s="575"/>
      <c r="BR129" s="558"/>
      <c r="BS129" s="492">
        <f>+BU128</f>
        <v>33243.545454545703</v>
      </c>
      <c r="BT129" s="476">
        <f>+BS$31</f>
        <v>8310.886363636364</v>
      </c>
      <c r="BU129" s="476">
        <f t="shared" si="160"/>
        <v>24932.659090909339</v>
      </c>
      <c r="BV129" s="493">
        <f>+BS$28*BU129+BT129</f>
        <v>11117.038937740368</v>
      </c>
      <c r="BW129" s="492">
        <f>+BY128</f>
        <v>2595785.5227272892</v>
      </c>
      <c r="BX129" s="476">
        <f>+BW$31</f>
        <v>576841.22727272729</v>
      </c>
      <c r="BY129" s="476">
        <f t="shared" si="162"/>
        <v>2018944.2954545619</v>
      </c>
      <c r="BZ129" s="493">
        <f>+BW$28*BY129+BX129</f>
        <v>804071.93343226775</v>
      </c>
      <c r="CA129" s="492">
        <f>+CC128</f>
        <v>249488.80000000168</v>
      </c>
      <c r="CB129" s="476">
        <f>+CA$31</f>
        <v>54433.919999999998</v>
      </c>
      <c r="CC129" s="476">
        <f t="shared" si="163"/>
        <v>195054.88000000169</v>
      </c>
      <c r="CD129" s="493">
        <f>+CA$28*CC129+CB129</f>
        <v>76387.204309057997</v>
      </c>
      <c r="CE129" s="492">
        <f>+CG128</f>
        <v>20081.373636363845</v>
      </c>
      <c r="CF129" s="476">
        <f>+CE$31</f>
        <v>4725.0290909090909</v>
      </c>
      <c r="CG129" s="476">
        <f t="shared" si="164"/>
        <v>15356.344545454755</v>
      </c>
      <c r="CH129" s="493">
        <f>+CE$28*CG129+CF129</f>
        <v>6453.3744558351946</v>
      </c>
      <c r="CI129" s="492">
        <f>+CK128</f>
        <v>63874.090909090613</v>
      </c>
      <c r="CJ129" s="476">
        <f>+CI$31</f>
        <v>12362.727272727272</v>
      </c>
      <c r="CK129" s="476">
        <f t="shared" si="165"/>
        <v>51511.363636363341</v>
      </c>
      <c r="CL129" s="493">
        <f>+CI$28*CK129+CJ129</f>
        <v>18160.293634852365</v>
      </c>
      <c r="CM129" s="492">
        <f>+CO128</f>
        <v>4715993.5764204673</v>
      </c>
      <c r="CN129" s="476">
        <f>+CM$31</f>
        <v>483691.64886363636</v>
      </c>
      <c r="CO129" s="476">
        <f t="shared" si="166"/>
        <v>4232301.9275568314</v>
      </c>
      <c r="CP129" s="493">
        <f>+CM$28*CO129+CN129</f>
        <v>960034.14025594876</v>
      </c>
      <c r="CQ129" s="492">
        <f>+CS128</f>
        <v>19672925.65210228</v>
      </c>
      <c r="CR129" s="476">
        <f>+CQ$31</f>
        <v>2017735.9643181816</v>
      </c>
      <c r="CS129" s="476">
        <f t="shared" si="167"/>
        <v>17655189.687784098</v>
      </c>
      <c r="CT129" s="493">
        <f>+CQ$28*CS129+CR129</f>
        <v>4004814.6713275625</v>
      </c>
      <c r="CU129" s="492">
        <f>+CW128</f>
        <v>6761953.7250000183</v>
      </c>
      <c r="CV129" s="476">
        <f>+CU$31</f>
        <v>676195.37250000006</v>
      </c>
      <c r="CW129" s="476">
        <f t="shared" si="168"/>
        <v>6085758.3525000177</v>
      </c>
      <c r="CX129" s="493">
        <f>+CU$28*CW129+CV129</f>
        <v>1361143.0310700198</v>
      </c>
      <c r="CY129" s="492">
        <f>+DA128</f>
        <v>7704.1005681818169</v>
      </c>
      <c r="CZ129" s="476">
        <f>+CY$31</f>
        <v>733.72386363636497</v>
      </c>
      <c r="DA129" s="476">
        <f t="shared" si="169"/>
        <v>6970.3767045454515</v>
      </c>
      <c r="DB129" s="493">
        <f>+CY$28*DA129+CZ129</f>
        <v>1518.2346717541614</v>
      </c>
      <c r="DC129" s="492">
        <f>+DE128</f>
        <v>456439.39545454737</v>
      </c>
      <c r="DD129" s="476">
        <f>+DC$31</f>
        <v>44530.672727272722</v>
      </c>
      <c r="DE129" s="476">
        <f t="shared" si="170"/>
        <v>411908.72272727464</v>
      </c>
      <c r="DF129" s="493">
        <f>+DC$28*DE129+DD129</f>
        <v>90890.698682084636</v>
      </c>
      <c r="DG129" s="492">
        <f>+DI128</f>
        <v>258714.48034090822</v>
      </c>
      <c r="DH129" s="476">
        <f>+DG$31</f>
        <v>24639.474318181816</v>
      </c>
      <c r="DI129" s="476">
        <f t="shared" si="171"/>
        <v>234075.00602272642</v>
      </c>
      <c r="DJ129" s="493">
        <f>+DG$28*DI129+DH129</f>
        <v>50984.445317427424</v>
      </c>
      <c r="DK129" s="492">
        <f>+DM128</f>
        <v>5588197.8901136443</v>
      </c>
      <c r="DL129" s="476">
        <f>+DK$31</f>
        <v>549658.80886363634</v>
      </c>
      <c r="DM129" s="476">
        <f t="shared" si="172"/>
        <v>5038539.0812500082</v>
      </c>
      <c r="DN129" s="493">
        <f>+DK$28*DM129+DL129</f>
        <v>1116742.7031654881</v>
      </c>
      <c r="DO129" s="492">
        <f>+DQ128</f>
        <v>218785.19314393913</v>
      </c>
      <c r="DP129" s="476">
        <f>+DO$31</f>
        <v>19592.703863636354</v>
      </c>
      <c r="DQ129" s="476">
        <f t="shared" si="148"/>
        <v>199192.48928030278</v>
      </c>
      <c r="DR129" s="493">
        <f>+DO$28*DQ129+DP129</f>
        <v>42011.673075785453</v>
      </c>
      <c r="DS129" s="492">
        <f>+DU128</f>
        <v>95401.156363636241</v>
      </c>
      <c r="DT129" s="476">
        <f>+DS$31</f>
        <v>8295.7527272726966</v>
      </c>
      <c r="DU129" s="476">
        <f t="shared" si="173"/>
        <v>87105.403636363539</v>
      </c>
      <c r="DV129" s="493">
        <f>+DS$28*DU129+DT129</f>
        <v>18099.402299558853</v>
      </c>
      <c r="DW129" s="492">
        <f>+DY128</f>
        <v>13744.83835227268</v>
      </c>
      <c r="DX129" s="476">
        <f>+DW$31</f>
        <v>1221.7634090909089</v>
      </c>
      <c r="DY129" s="476">
        <f t="shared" si="174"/>
        <v>12523.074943181771</v>
      </c>
      <c r="DZ129" s="493">
        <f>+DW$28*DY129+DX129</f>
        <v>2631.2263492198995</v>
      </c>
      <c r="EA129" s="492">
        <f>+EC128</f>
        <v>-84850.260625000636</v>
      </c>
      <c r="EB129" s="476">
        <f>+EA$31</f>
        <v>-7120.3015909091364</v>
      </c>
      <c r="EC129" s="476">
        <f t="shared" si="175"/>
        <v>-77729.959034091502</v>
      </c>
      <c r="ED129" s="493">
        <f>+EA$28*EC129+EB129</f>
        <v>-15868.751719441309</v>
      </c>
      <c r="EE129" s="576">
        <f>+EG128</f>
        <v>2582647.1777272816</v>
      </c>
      <c r="EF129" s="580">
        <f>+EE$31</f>
        <v>192495.44181818186</v>
      </c>
      <c r="EG129" s="580">
        <f t="shared" si="69"/>
        <v>2390151.7359090997</v>
      </c>
      <c r="EH129" s="493">
        <f>+EE$28*EG129+EF129</f>
        <v>461505.27433403861</v>
      </c>
      <c r="EI129" s="576">
        <f>+EK128</f>
        <v>106464.12200757558</v>
      </c>
      <c r="EJ129" s="580">
        <f>+EI$31</f>
        <v>7696.2015909090906</v>
      </c>
      <c r="EK129" s="580">
        <f t="shared" si="70"/>
        <v>98767.9204166665</v>
      </c>
      <c r="EL129" s="493">
        <f>+EI$28*EK129+EJ129</f>
        <v>18812.458910497688</v>
      </c>
      <c r="EM129" s="576">
        <f>+EO128</f>
        <v>3657870.4240909051</v>
      </c>
      <c r="EN129" s="580">
        <f>+EM$31</f>
        <v>261276.45886363636</v>
      </c>
      <c r="EO129" s="580">
        <f t="shared" si="71"/>
        <v>3396593.9652272686</v>
      </c>
      <c r="EP129" s="493">
        <f>+EM$28*EO129+EN129</f>
        <v>643560.62935485528</v>
      </c>
      <c r="EQ129" s="576">
        <f>+ES128</f>
        <v>7258410.0856818035</v>
      </c>
      <c r="ER129" s="580">
        <f>+EQ$31</f>
        <v>500580.00590909086</v>
      </c>
      <c r="ES129" s="580">
        <f t="shared" si="94"/>
        <v>6757830.0797727127</v>
      </c>
      <c r="ET129" s="493">
        <f>+EQ$28*ES129+ER129</f>
        <v>1261168.8466166558</v>
      </c>
      <c r="EU129" s="576">
        <f>+EW128</f>
        <v>9378827.2940909043</v>
      </c>
      <c r="EV129" s="580">
        <f>+EU$31</f>
        <v>646815.67545454553</v>
      </c>
      <c r="EW129" s="580">
        <f t="shared" si="95"/>
        <v>8732011.6186363585</v>
      </c>
      <c r="EX129" s="493">
        <f>+EU$28*EW129+EV129</f>
        <v>1629597.2067544549</v>
      </c>
      <c r="EY129" s="582">
        <f t="shared" si="103"/>
        <v>16708711.595148491</v>
      </c>
      <c r="EZ129" s="557"/>
      <c r="FA129" s="578">
        <f>+EY129</f>
        <v>16708711.595148491</v>
      </c>
      <c r="FD129" s="492"/>
      <c r="FE129" s="476"/>
      <c r="FF129" s="476"/>
      <c r="FG129" s="493"/>
      <c r="FH129" s="492"/>
      <c r="FI129" s="476"/>
      <c r="FJ129" s="476"/>
      <c r="FK129" s="493"/>
      <c r="FL129" s="492"/>
      <c r="FM129" s="476"/>
      <c r="FN129" s="476"/>
      <c r="FO129" s="493"/>
      <c r="FP129" s="492"/>
      <c r="FQ129" s="476"/>
      <c r="FR129" s="476"/>
      <c r="FS129" s="493"/>
      <c r="FT129" s="492"/>
      <c r="FU129" s="476"/>
      <c r="FV129" s="476"/>
      <c r="FW129" s="493"/>
      <c r="FX129" s="492"/>
      <c r="FY129" s="476"/>
      <c r="FZ129" s="476"/>
      <c r="GA129" s="493"/>
      <c r="GB129" s="492"/>
      <c r="GC129" s="476"/>
      <c r="GD129" s="476"/>
      <c r="GE129" s="493"/>
      <c r="GF129" s="492"/>
      <c r="GG129" s="476"/>
      <c r="GH129" s="476"/>
      <c r="GI129" s="493"/>
      <c r="GJ129" s="492"/>
      <c r="GK129" s="476"/>
      <c r="GL129" s="476"/>
      <c r="GM129" s="493"/>
      <c r="GN129" s="492"/>
      <c r="GO129" s="476"/>
      <c r="GP129" s="476"/>
      <c r="GQ129" s="493"/>
      <c r="GR129" s="492"/>
      <c r="GS129" s="476"/>
      <c r="GT129" s="476"/>
      <c r="GU129" s="493"/>
      <c r="GV129" s="492"/>
      <c r="GW129" s="476"/>
      <c r="GX129" s="476"/>
      <c r="GY129" s="493"/>
      <c r="GZ129" s="492"/>
      <c r="HA129" s="476"/>
      <c r="HB129" s="476"/>
      <c r="HC129" s="493"/>
      <c r="HD129" s="576"/>
      <c r="HE129" s="580"/>
      <c r="HF129" s="580"/>
      <c r="HG129" s="918"/>
      <c r="HH129" s="919"/>
      <c r="HI129" s="925"/>
      <c r="HJ129" s="925"/>
      <c r="HK129" s="918"/>
      <c r="HL129" s="919"/>
      <c r="HM129" s="925"/>
      <c r="HN129" s="925"/>
      <c r="HO129" s="918"/>
      <c r="HP129" s="919"/>
      <c r="HQ129" s="925"/>
      <c r="HR129" s="925"/>
      <c r="HS129" s="918"/>
      <c r="HT129" s="919"/>
      <c r="HU129" s="925"/>
      <c r="HV129" s="925"/>
      <c r="HW129" s="918"/>
      <c r="HY129" s="492"/>
      <c r="HZ129" s="476"/>
      <c r="IA129" s="476"/>
      <c r="IB129" s="493"/>
      <c r="IC129" s="492"/>
      <c r="ID129" s="476"/>
      <c r="IE129" s="476"/>
      <c r="IF129" s="493"/>
      <c r="IG129" s="492"/>
      <c r="IH129" s="476"/>
      <c r="II129" s="476"/>
      <c r="IJ129" s="493"/>
    </row>
    <row r="130" spans="1:244">
      <c r="A130" s="554" t="s">
        <v>23</v>
      </c>
      <c r="B130" s="574">
        <v>2051</v>
      </c>
      <c r="C130" s="575">
        <f>+C129</f>
        <v>780135.97215908091</v>
      </c>
      <c r="D130" s="575">
        <f>+D129</f>
        <v>445791.98409090913</v>
      </c>
      <c r="E130" s="575">
        <f>+C130-D130</f>
        <v>334343.98806817178</v>
      </c>
      <c r="F130" s="558">
        <f>+C$29*E130+D130</f>
        <v>485601.4987784262</v>
      </c>
      <c r="G130" s="575">
        <f>+G129</f>
        <v>173761.12431817991</v>
      </c>
      <c r="H130" s="575">
        <f>+H129</f>
        <v>115840.74954545456</v>
      </c>
      <c r="I130" s="575">
        <f>+G130-H130</f>
        <v>57920.37477272535</v>
      </c>
      <c r="J130" s="558">
        <f>+G$29*I130+H130</f>
        <v>122737.18582817055</v>
      </c>
      <c r="K130" s="576">
        <f>+K129</f>
        <v>229064.82085226901</v>
      </c>
      <c r="L130" s="575">
        <f>+L129</f>
        <v>229064.82085226901</v>
      </c>
      <c r="M130" s="575">
        <f t="shared" si="152"/>
        <v>0</v>
      </c>
      <c r="N130" s="558">
        <f>+K$29*M130+L130</f>
        <v>229064.82085226901</v>
      </c>
      <c r="O130" s="576">
        <f>+O129</f>
        <v>338062.90151514823</v>
      </c>
      <c r="P130" s="575">
        <f>+P129</f>
        <v>119316.31818181818</v>
      </c>
      <c r="Q130" s="575">
        <f t="shared" si="153"/>
        <v>218746.58333333005</v>
      </c>
      <c r="R130" s="558">
        <f>+O$29*Q130+P130</f>
        <v>145361.93477079301</v>
      </c>
      <c r="S130" s="492">
        <f>+S129</f>
        <v>68034.989696966601</v>
      </c>
      <c r="T130" s="476">
        <f>+T129</f>
        <v>58315.705454545445</v>
      </c>
      <c r="U130" s="476">
        <f t="shared" si="154"/>
        <v>9719.2842424211558</v>
      </c>
      <c r="V130" s="493">
        <f>+S$29*U130+T130</f>
        <v>59472.956676666799</v>
      </c>
      <c r="W130" s="492">
        <f>+W129</f>
        <v>1964331.9053030405</v>
      </c>
      <c r="X130" s="476">
        <f>+X129</f>
        <v>693293.61363636365</v>
      </c>
      <c r="Y130" s="476">
        <f t="shared" si="155"/>
        <v>1271038.2916666768</v>
      </c>
      <c r="Z130" s="493">
        <f>+W$29*Y130+X130</f>
        <v>844633.01062346937</v>
      </c>
      <c r="AA130" s="492">
        <f>+AA129</f>
        <v>1314930.4450757555</v>
      </c>
      <c r="AB130" s="476">
        <f>+AB129</f>
        <v>450833.29545454547</v>
      </c>
      <c r="AC130" s="476">
        <f t="shared" si="156"/>
        <v>864097.14962121006</v>
      </c>
      <c r="AD130" s="493">
        <f>+AA$29*AC130+AB130</f>
        <v>553719.21354161832</v>
      </c>
      <c r="AE130" s="492">
        <f>+AE129</f>
        <v>11494.715909090974</v>
      </c>
      <c r="AF130" s="476">
        <f>+AF129</f>
        <v>4597.886363636364</v>
      </c>
      <c r="AG130" s="476">
        <f t="shared" si="157"/>
        <v>6896.8295454546096</v>
      </c>
      <c r="AH130" s="493">
        <f>+AE$29*AG130+AF130</f>
        <v>5419.0748607691285</v>
      </c>
      <c r="AI130" s="492">
        <f>+AI129</f>
        <v>1132931.8219697019</v>
      </c>
      <c r="AJ130" s="476">
        <f>+AJ129</f>
        <v>295547.43181818182</v>
      </c>
      <c r="AK130" s="476">
        <f t="shared" si="161"/>
        <v>837384.39015152003</v>
      </c>
      <c r="AL130" s="493">
        <f>+AI$29*AK130+AJ130</f>
        <v>395252.72746727656</v>
      </c>
      <c r="AM130" s="492">
        <f>+AM129</f>
        <v>388034.20488636405</v>
      </c>
      <c r="AN130" s="476">
        <f>+AN129</f>
        <v>110866.91568181818</v>
      </c>
      <c r="AO130" s="476">
        <f t="shared" si="158"/>
        <v>277167.2892045459</v>
      </c>
      <c r="AP130" s="493">
        <f>+AM$29*AO130+AN130</f>
        <v>143868.54174436873</v>
      </c>
      <c r="AQ130" s="492">
        <f>+AQ129</f>
        <v>3393495.8897727281</v>
      </c>
      <c r="AR130" s="476">
        <f>+AR129</f>
        <v>904932.23727272719</v>
      </c>
      <c r="AS130" s="476">
        <f t="shared" si="159"/>
        <v>2488563.6525000008</v>
      </c>
      <c r="AT130" s="493">
        <f>+AQ$29*AS130+AR130</f>
        <v>1201239.3784521886</v>
      </c>
      <c r="AU130" s="575"/>
      <c r="AV130" s="575"/>
      <c r="AW130" s="575"/>
      <c r="AX130" s="558"/>
      <c r="AY130" s="575"/>
      <c r="AZ130" s="575"/>
      <c r="BA130" s="575"/>
      <c r="BB130" s="558"/>
      <c r="BC130" s="575"/>
      <c r="BD130" s="575"/>
      <c r="BE130" s="575"/>
      <c r="BF130" s="558"/>
      <c r="BG130" s="575"/>
      <c r="BH130" s="575"/>
      <c r="BI130" s="575"/>
      <c r="BJ130" s="558"/>
      <c r="BK130" s="575"/>
      <c r="BL130" s="575"/>
      <c r="BM130" s="575"/>
      <c r="BN130" s="558"/>
      <c r="BO130" s="575"/>
      <c r="BP130" s="575"/>
      <c r="BQ130" s="575"/>
      <c r="BR130" s="558"/>
      <c r="BS130" s="492">
        <f>+BS129</f>
        <v>33243.545454545703</v>
      </c>
      <c r="BT130" s="476">
        <f>+BT129</f>
        <v>8310.886363636364</v>
      </c>
      <c r="BU130" s="476">
        <f t="shared" si="160"/>
        <v>24932.659090909339</v>
      </c>
      <c r="BV130" s="493">
        <f>+BS$29*BU130+BT130</f>
        <v>11279.55663646936</v>
      </c>
      <c r="BW130" s="492">
        <f>+BW129</f>
        <v>2595785.5227272892</v>
      </c>
      <c r="BX130" s="476">
        <f>+BX129</f>
        <v>576841.22727272729</v>
      </c>
      <c r="BY130" s="476">
        <f t="shared" si="162"/>
        <v>2018944.2954545619</v>
      </c>
      <c r="BZ130" s="493">
        <f>+BW$29*BY130+BX130</f>
        <v>804071.93343226775</v>
      </c>
      <c r="CA130" s="492">
        <f>+CA129</f>
        <v>249488.80000000168</v>
      </c>
      <c r="CB130" s="476">
        <f>+CB129</f>
        <v>54433.919999999998</v>
      </c>
      <c r="CC130" s="476">
        <f t="shared" si="163"/>
        <v>195054.88000000169</v>
      </c>
      <c r="CD130" s="493">
        <f>+CA$29*CC130+CB130</f>
        <v>77658.623859932064</v>
      </c>
      <c r="CE130" s="492">
        <f>+CE129</f>
        <v>20081.373636363845</v>
      </c>
      <c r="CF130" s="476">
        <f>+CF129</f>
        <v>4725.0290909090909</v>
      </c>
      <c r="CG130" s="476">
        <f t="shared" si="164"/>
        <v>15356.344545454755</v>
      </c>
      <c r="CH130" s="493">
        <f>+CE$29*CG130+CF130</f>
        <v>6553.4711910978513</v>
      </c>
      <c r="CI130" s="492">
        <f>+CI129</f>
        <v>63874.090909090613</v>
      </c>
      <c r="CJ130" s="476">
        <f>+CJ129</f>
        <v>12362.727272727272</v>
      </c>
      <c r="CK130" s="476">
        <f t="shared" si="165"/>
        <v>51511.363636363341</v>
      </c>
      <c r="CL130" s="493">
        <f>+CI$29*CK130+CJ130</f>
        <v>18160.293634852365</v>
      </c>
      <c r="CM130" s="492">
        <f>+CM129</f>
        <v>4715993.5764204673</v>
      </c>
      <c r="CN130" s="476">
        <f>+CN129</f>
        <v>483691.64886363636</v>
      </c>
      <c r="CO130" s="476">
        <f t="shared" si="166"/>
        <v>4232301.9275568314</v>
      </c>
      <c r="CP130" s="493">
        <f>+CM$29*CO130+CN130</f>
        <v>960034.14025594876</v>
      </c>
      <c r="CQ130" s="492">
        <f>+CQ129</f>
        <v>19672925.65210228</v>
      </c>
      <c r="CR130" s="476">
        <f>+CR129</f>
        <v>2017735.9643181816</v>
      </c>
      <c r="CS130" s="476">
        <f t="shared" si="167"/>
        <v>17655189.687784098</v>
      </c>
      <c r="CT130" s="493">
        <f>+CQ$29*CS130+CR130</f>
        <v>4004814.6713275625</v>
      </c>
      <c r="CU130" s="492">
        <f>+CU129</f>
        <v>6761953.7250000183</v>
      </c>
      <c r="CV130" s="476">
        <f>+CV129</f>
        <v>676195.37250000006</v>
      </c>
      <c r="CW130" s="476">
        <f t="shared" si="168"/>
        <v>6085758.3525000177</v>
      </c>
      <c r="CX130" s="493">
        <f>+CU$29*CW130+CV130</f>
        <v>1361143.0310700198</v>
      </c>
      <c r="CY130" s="492">
        <f>+CY129</f>
        <v>7704.1005681818169</v>
      </c>
      <c r="CZ130" s="476">
        <f>+CZ129</f>
        <v>733.72386363636497</v>
      </c>
      <c r="DA130" s="476">
        <f t="shared" si="169"/>
        <v>6970.3767045454515</v>
      </c>
      <c r="DB130" s="493">
        <f>+CY$29*DA130+CZ130</f>
        <v>1518.2346717541614</v>
      </c>
      <c r="DC130" s="492">
        <f>+DC129</f>
        <v>456439.39545454737</v>
      </c>
      <c r="DD130" s="476">
        <f>+DD129</f>
        <v>44530.672727272722</v>
      </c>
      <c r="DE130" s="476">
        <f t="shared" si="170"/>
        <v>411908.72272727464</v>
      </c>
      <c r="DF130" s="493">
        <f>+DC$29*DE130+DD130</f>
        <v>90890.698682084636</v>
      </c>
      <c r="DG130" s="492">
        <f>+DG129</f>
        <v>258714.48034090822</v>
      </c>
      <c r="DH130" s="476">
        <f>+DH129</f>
        <v>24639.474318181816</v>
      </c>
      <c r="DI130" s="476">
        <f t="shared" si="171"/>
        <v>234075.00602272642</v>
      </c>
      <c r="DJ130" s="493">
        <f>+DG$29*DI130+DH130</f>
        <v>50984.445317427424</v>
      </c>
      <c r="DK130" s="492">
        <f>+DK129</f>
        <v>5588197.8901136443</v>
      </c>
      <c r="DL130" s="476">
        <f>+DL129</f>
        <v>549658.80886363634</v>
      </c>
      <c r="DM130" s="476">
        <f t="shared" si="172"/>
        <v>5038539.0812500082</v>
      </c>
      <c r="DN130" s="493">
        <f>+DK$29*DM130+DL130</f>
        <v>1116742.7031654881</v>
      </c>
      <c r="DO130" s="492">
        <f>+DO129</f>
        <v>218785.19314393913</v>
      </c>
      <c r="DP130" s="476">
        <f>+DP129</f>
        <v>19592.703863636354</v>
      </c>
      <c r="DQ130" s="476">
        <f t="shared" si="148"/>
        <v>199192.48928030278</v>
      </c>
      <c r="DR130" s="493">
        <f>+DO$29*DQ130+DP130</f>
        <v>42011.673075785453</v>
      </c>
      <c r="DS130" s="492">
        <f>+DS129</f>
        <v>95401.156363636241</v>
      </c>
      <c r="DT130" s="476">
        <f>+DT129</f>
        <v>8295.7527272726966</v>
      </c>
      <c r="DU130" s="476">
        <f t="shared" si="173"/>
        <v>87105.403636363539</v>
      </c>
      <c r="DV130" s="493">
        <f>+DS$29*DU130+DT130</f>
        <v>18099.402299558853</v>
      </c>
      <c r="DW130" s="492">
        <f>+DW129</f>
        <v>13744.83835227268</v>
      </c>
      <c r="DX130" s="476">
        <f>+DX129</f>
        <v>1221.7634090909089</v>
      </c>
      <c r="DY130" s="476">
        <f t="shared" si="174"/>
        <v>12523.074943181771</v>
      </c>
      <c r="DZ130" s="493">
        <f>+DW$29*DY130+DX130</f>
        <v>2631.2263492198995</v>
      </c>
      <c r="EA130" s="492">
        <f>+EA129</f>
        <v>-84850.260625000636</v>
      </c>
      <c r="EB130" s="476">
        <f>+EB129</f>
        <v>-7120.3015909091364</v>
      </c>
      <c r="EC130" s="476">
        <f t="shared" si="175"/>
        <v>-77729.959034091502</v>
      </c>
      <c r="ED130" s="493">
        <f>+EA$29*EC130+EB130</f>
        <v>-15868.751719441309</v>
      </c>
      <c r="EE130" s="576">
        <f>+EE129</f>
        <v>2582647.1777272816</v>
      </c>
      <c r="EF130" s="580">
        <f>+EF129</f>
        <v>192495.44181818186</v>
      </c>
      <c r="EG130" s="580">
        <f t="shared" si="69"/>
        <v>2390151.7359090997</v>
      </c>
      <c r="EH130" s="493">
        <f>+EE$29*EG130+EF130</f>
        <v>461505.27433403861</v>
      </c>
      <c r="EI130" s="576">
        <f>+EI129</f>
        <v>106464.12200757558</v>
      </c>
      <c r="EJ130" s="580">
        <f>+EJ129</f>
        <v>7696.2015909090906</v>
      </c>
      <c r="EK130" s="580">
        <f t="shared" si="70"/>
        <v>98767.9204166665</v>
      </c>
      <c r="EL130" s="493">
        <f>+EI$29*EK130+EJ130</f>
        <v>18812.458910497688</v>
      </c>
      <c r="EM130" s="576">
        <f>+EM129</f>
        <v>3657870.4240909051</v>
      </c>
      <c r="EN130" s="580">
        <f>+EN129</f>
        <v>261276.45886363636</v>
      </c>
      <c r="EO130" s="580">
        <f t="shared" si="71"/>
        <v>3396593.9652272686</v>
      </c>
      <c r="EP130" s="493">
        <f>+EM$29*EO130+EN130</f>
        <v>643560.62935485528</v>
      </c>
      <c r="EQ130" s="576">
        <f>+EQ129</f>
        <v>7258410.0856818035</v>
      </c>
      <c r="ER130" s="580">
        <f>+ER129</f>
        <v>500580.00590909086</v>
      </c>
      <c r="ES130" s="580">
        <f t="shared" si="94"/>
        <v>6757830.0797727127</v>
      </c>
      <c r="ET130" s="493">
        <f>+EQ$29*ES130+ER130</f>
        <v>1261168.8466166558</v>
      </c>
      <c r="EU130" s="576">
        <f>+EU129</f>
        <v>9378827.2940909043</v>
      </c>
      <c r="EV130" s="580">
        <f>+EV129</f>
        <v>646815.67545454553</v>
      </c>
      <c r="EW130" s="580">
        <f t="shared" si="95"/>
        <v>8732011.6186363585</v>
      </c>
      <c r="EX130" s="493">
        <f>+EU$29*EW130+EV130</f>
        <v>1629597.2067544549</v>
      </c>
      <c r="EY130" s="582">
        <f t="shared" si="103"/>
        <v>16751740.112816544</v>
      </c>
      <c r="EZ130" s="579">
        <f>+EY130</f>
        <v>16751740.112816544</v>
      </c>
      <c r="FA130" s="553"/>
      <c r="FD130" s="492"/>
      <c r="FE130" s="476"/>
      <c r="FF130" s="476"/>
      <c r="FG130" s="493"/>
      <c r="FH130" s="492"/>
      <c r="FI130" s="476"/>
      <c r="FJ130" s="476"/>
      <c r="FK130" s="493"/>
      <c r="FL130" s="492"/>
      <c r="FM130" s="476"/>
      <c r="FN130" s="476"/>
      <c r="FO130" s="493"/>
      <c r="FP130" s="492"/>
      <c r="FQ130" s="476"/>
      <c r="FR130" s="476"/>
      <c r="FS130" s="493"/>
      <c r="FT130" s="492"/>
      <c r="FU130" s="476"/>
      <c r="FV130" s="476"/>
      <c r="FW130" s="493"/>
      <c r="FX130" s="492"/>
      <c r="FY130" s="476"/>
      <c r="FZ130" s="476"/>
      <c r="GA130" s="493"/>
      <c r="GB130" s="492"/>
      <c r="GC130" s="476"/>
      <c r="GD130" s="476"/>
      <c r="GE130" s="493"/>
      <c r="GF130" s="492"/>
      <c r="GG130" s="476"/>
      <c r="GH130" s="476"/>
      <c r="GI130" s="493"/>
      <c r="GJ130" s="492"/>
      <c r="GK130" s="476"/>
      <c r="GL130" s="476"/>
      <c r="GM130" s="493"/>
      <c r="GN130" s="492"/>
      <c r="GO130" s="476"/>
      <c r="GP130" s="476"/>
      <c r="GQ130" s="493"/>
      <c r="GR130" s="492"/>
      <c r="GS130" s="476"/>
      <c r="GT130" s="476"/>
      <c r="GU130" s="493"/>
      <c r="GV130" s="492"/>
      <c r="GW130" s="476"/>
      <c r="GX130" s="476"/>
      <c r="GY130" s="493"/>
      <c r="GZ130" s="492"/>
      <c r="HA130" s="476"/>
      <c r="HB130" s="476"/>
      <c r="HC130" s="493"/>
      <c r="HD130" s="576"/>
      <c r="HE130" s="580"/>
      <c r="HF130" s="580"/>
      <c r="HG130" s="918"/>
      <c r="HH130" s="919"/>
      <c r="HI130" s="925"/>
      <c r="HJ130" s="925"/>
      <c r="HK130" s="918"/>
      <c r="HL130" s="919"/>
      <c r="HM130" s="925"/>
      <c r="HN130" s="925"/>
      <c r="HO130" s="918"/>
      <c r="HP130" s="919"/>
      <c r="HQ130" s="925"/>
      <c r="HR130" s="925"/>
      <c r="HS130" s="918"/>
      <c r="HT130" s="919"/>
      <c r="HU130" s="925"/>
      <c r="HV130" s="925"/>
      <c r="HW130" s="918"/>
      <c r="HY130" s="492"/>
      <c r="HZ130" s="476"/>
      <c r="IA130" s="476"/>
      <c r="IB130" s="493"/>
      <c r="IC130" s="492"/>
      <c r="ID130" s="476"/>
      <c r="IE130" s="476"/>
      <c r="IF130" s="493"/>
      <c r="IG130" s="492"/>
      <c r="IH130" s="476"/>
      <c r="II130" s="476"/>
      <c r="IJ130" s="493"/>
    </row>
    <row r="131" spans="1:244">
      <c r="A131" s="554" t="s">
        <v>24</v>
      </c>
      <c r="B131" s="574">
        <v>2052</v>
      </c>
      <c r="C131" s="575">
        <f>+E130</f>
        <v>334343.98806817178</v>
      </c>
      <c r="D131" s="575">
        <f>+C$31/12*C32</f>
        <v>334343.98806818185</v>
      </c>
      <c r="E131" s="575">
        <f>+C131-D131</f>
        <v>-1.0069925338029861E-8</v>
      </c>
      <c r="F131" s="558">
        <f>+C$28*E131+D131</f>
        <v>334343.98806818074</v>
      </c>
      <c r="G131" s="575">
        <f>+I130</f>
        <v>57920.37477272535</v>
      </c>
      <c r="H131" s="575">
        <f>+G$31/12*G32</f>
        <v>57920.374772727271</v>
      </c>
      <c r="I131" s="575">
        <f>+G131-H131</f>
        <v>-1.9208528101444244E-9</v>
      </c>
      <c r="J131" s="558">
        <f>+G$28*I131+H131</f>
        <v>57920.374772727053</v>
      </c>
      <c r="K131" s="576"/>
      <c r="L131" s="575"/>
      <c r="M131" s="575"/>
      <c r="N131" s="558"/>
      <c r="O131" s="576">
        <f>+Q130</f>
        <v>218746.58333333005</v>
      </c>
      <c r="P131" s="575">
        <f>+O$31</f>
        <v>119316.31818181818</v>
      </c>
      <c r="Q131" s="575">
        <f t="shared" si="153"/>
        <v>99430.265151511878</v>
      </c>
      <c r="R131" s="558">
        <f>+O$28*Q131+P131</f>
        <v>130507.12191764957</v>
      </c>
      <c r="S131" s="492">
        <f>+U130</f>
        <v>9719.2842424211558</v>
      </c>
      <c r="T131" s="476">
        <f>+S$31/12*S32</f>
        <v>9719.2842424242408</v>
      </c>
      <c r="U131" s="476">
        <f t="shared" si="154"/>
        <v>-3.0850060284137726E-9</v>
      </c>
      <c r="V131" s="493">
        <f>+S$28*U131+T131</f>
        <v>9719.2842424238934</v>
      </c>
      <c r="W131" s="492">
        <f>+Y130</f>
        <v>1271038.2916666768</v>
      </c>
      <c r="X131" s="476">
        <f>+W$31</f>
        <v>693293.61363636365</v>
      </c>
      <c r="Y131" s="476">
        <f t="shared" si="155"/>
        <v>577744.67803031311</v>
      </c>
      <c r="Z131" s="493">
        <f>+W$28*Y131+X131</f>
        <v>758318.35526212829</v>
      </c>
      <c r="AA131" s="492">
        <f>+AC130</f>
        <v>864097.14962121006</v>
      </c>
      <c r="AB131" s="476">
        <f>+AA$31</f>
        <v>450833.29545454547</v>
      </c>
      <c r="AC131" s="476">
        <f t="shared" si="156"/>
        <v>413263.85416666459</v>
      </c>
      <c r="AD131" s="493">
        <f>+AA$28*AC131+AB131</f>
        <v>497345.84046330297</v>
      </c>
      <c r="AE131" s="492">
        <f>+AG130</f>
        <v>6896.8295454546096</v>
      </c>
      <c r="AF131" s="476">
        <f>+AE$31</f>
        <v>4597.886363636364</v>
      </c>
      <c r="AG131" s="476">
        <f t="shared" si="157"/>
        <v>2298.9431818182456</v>
      </c>
      <c r="AH131" s="493">
        <f>+AE$28*AG131+AF131</f>
        <v>4856.6307399925254</v>
      </c>
      <c r="AI131" s="492">
        <f>+AK130</f>
        <v>837384.39015152003</v>
      </c>
      <c r="AJ131" s="476">
        <f>+AI$31</f>
        <v>295547.43181818182</v>
      </c>
      <c r="AK131" s="476">
        <f t="shared" si="161"/>
        <v>541836.95833333815</v>
      </c>
      <c r="AL131" s="493">
        <f>+AI$28*AK131+AJ131</f>
        <v>356530.7858129493</v>
      </c>
      <c r="AM131" s="492">
        <f>+AO130</f>
        <v>277167.2892045459</v>
      </c>
      <c r="AN131" s="476">
        <f>+AM$31</f>
        <v>110866.91568181818</v>
      </c>
      <c r="AO131" s="476">
        <f t="shared" si="158"/>
        <v>166300.37352272772</v>
      </c>
      <c r="AP131" s="493">
        <f>+AM$28*AO131+AN131</f>
        <v>129583.90128426479</v>
      </c>
      <c r="AQ131" s="492">
        <f>+AS130</f>
        <v>2488563.6525000008</v>
      </c>
      <c r="AR131" s="476">
        <f>+AQ$31</f>
        <v>904932.23727272719</v>
      </c>
      <c r="AS131" s="476">
        <f t="shared" si="159"/>
        <v>1583631.4152272735</v>
      </c>
      <c r="AT131" s="493">
        <f>+AQ$28*AS131+AR131</f>
        <v>1083168.7966412492</v>
      </c>
      <c r="AU131" s="575"/>
      <c r="AV131" s="575"/>
      <c r="AW131" s="575"/>
      <c r="AX131" s="558"/>
      <c r="AY131" s="575"/>
      <c r="AZ131" s="575"/>
      <c r="BA131" s="575"/>
      <c r="BB131" s="558"/>
      <c r="BC131" s="575"/>
      <c r="BD131" s="575"/>
      <c r="BE131" s="575"/>
      <c r="BF131" s="558"/>
      <c r="BG131" s="575"/>
      <c r="BH131" s="575"/>
      <c r="BI131" s="575"/>
      <c r="BJ131" s="558"/>
      <c r="BK131" s="575"/>
      <c r="BL131" s="575"/>
      <c r="BM131" s="575"/>
      <c r="BN131" s="558"/>
      <c r="BO131" s="575"/>
      <c r="BP131" s="575"/>
      <c r="BQ131" s="575"/>
      <c r="BR131" s="558"/>
      <c r="BS131" s="492">
        <f>+BU130</f>
        <v>24932.659090909339</v>
      </c>
      <c r="BT131" s="476">
        <f>+BS$31</f>
        <v>8310.886363636364</v>
      </c>
      <c r="BU131" s="476">
        <f t="shared" si="160"/>
        <v>16621.772727272975</v>
      </c>
      <c r="BV131" s="493">
        <f>+BS$28*BU131+BT131</f>
        <v>10181.654746372376</v>
      </c>
      <c r="BW131" s="492">
        <f>+BY130</f>
        <v>2018944.2954545619</v>
      </c>
      <c r="BX131" s="476">
        <f>+BW$31</f>
        <v>576841.22727272729</v>
      </c>
      <c r="BY131" s="476">
        <f t="shared" si="162"/>
        <v>1442103.0681818346</v>
      </c>
      <c r="BZ131" s="493">
        <f>+BW$28*BY131+BX131</f>
        <v>739148.8745295424</v>
      </c>
      <c r="CA131" s="492">
        <f>+CC130</f>
        <v>195054.88000000169</v>
      </c>
      <c r="CB131" s="476">
        <f>+CA$31</f>
        <v>54433.919999999998</v>
      </c>
      <c r="CC131" s="476">
        <f t="shared" si="163"/>
        <v>140620.96000000171</v>
      </c>
      <c r="CD131" s="493">
        <f>+CA$28*CC131+CB131</f>
        <v>70260.706362344194</v>
      </c>
      <c r="CE131" s="492">
        <f>+CG130</f>
        <v>15356.344545454755</v>
      </c>
      <c r="CF131" s="476">
        <f>+CE$31</f>
        <v>4725.0290909090909</v>
      </c>
      <c r="CG131" s="476">
        <f t="shared" si="164"/>
        <v>10631.315454545664</v>
      </c>
      <c r="CH131" s="493">
        <f>+CE$28*CG131+CF131</f>
        <v>5921.5758820117853</v>
      </c>
      <c r="CI131" s="492">
        <f>+CK130</f>
        <v>51511.363636363341</v>
      </c>
      <c r="CJ131" s="476">
        <f>+CI$31</f>
        <v>12362.727272727272</v>
      </c>
      <c r="CK131" s="476">
        <f t="shared" si="165"/>
        <v>39148.636363636069</v>
      </c>
      <c r="CL131" s="493">
        <f>+CI$28*CK131+CJ131</f>
        <v>16768.877707942334</v>
      </c>
      <c r="CM131" s="492">
        <f>+CO130</f>
        <v>4232301.9275568314</v>
      </c>
      <c r="CN131" s="476">
        <f>+CM$31</f>
        <v>483691.64886363636</v>
      </c>
      <c r="CO131" s="476">
        <f t="shared" si="166"/>
        <v>3748610.278693195</v>
      </c>
      <c r="CP131" s="493">
        <f>+CM$28*CO131+CN131</f>
        <v>905594.99838254182</v>
      </c>
      <c r="CQ131" s="492">
        <f>+CS130</f>
        <v>17655189.687784098</v>
      </c>
      <c r="CR131" s="476">
        <f>+CQ$31</f>
        <v>2017735.9643181816</v>
      </c>
      <c r="CS131" s="476">
        <f t="shared" si="167"/>
        <v>15637453.723465916</v>
      </c>
      <c r="CT131" s="493">
        <f>+CQ$28*CS131+CR131</f>
        <v>3777719.9619550621</v>
      </c>
      <c r="CU131" s="492">
        <f>+CW130</f>
        <v>6085758.3525000177</v>
      </c>
      <c r="CV131" s="476">
        <f>+CU$31</f>
        <v>676195.37250000006</v>
      </c>
      <c r="CW131" s="476">
        <f t="shared" si="168"/>
        <v>5409562.9800000172</v>
      </c>
      <c r="CX131" s="493">
        <f>+CU$28*CW131+CV131</f>
        <v>1285037.7356733512</v>
      </c>
      <c r="CY131" s="492">
        <f>+DA130</f>
        <v>6970.3767045454515</v>
      </c>
      <c r="CZ131" s="476">
        <f>+CY$31</f>
        <v>733.72386363636497</v>
      </c>
      <c r="DA131" s="476">
        <f t="shared" si="169"/>
        <v>6236.6528409090861</v>
      </c>
      <c r="DB131" s="493">
        <f>+CY$28*DA131+CZ131</f>
        <v>1435.6545866891297</v>
      </c>
      <c r="DC131" s="492">
        <f>+DE130</f>
        <v>411908.72272727464</v>
      </c>
      <c r="DD131" s="476">
        <f>+DC$31</f>
        <v>44530.672727272722</v>
      </c>
      <c r="DE131" s="476">
        <f t="shared" si="170"/>
        <v>367378.05000000191</v>
      </c>
      <c r="DF131" s="493">
        <f>+DC$28*DE131+DD131</f>
        <v>85878.803984267157</v>
      </c>
      <c r="DG131" s="492">
        <f>+DI130</f>
        <v>234075.00602272642</v>
      </c>
      <c r="DH131" s="476">
        <f>+DG$31</f>
        <v>24639.474318181816</v>
      </c>
      <c r="DI131" s="476">
        <f t="shared" si="171"/>
        <v>209435.53170454461</v>
      </c>
      <c r="DJ131" s="493">
        <f>+DG$28*DI131+DH131</f>
        <v>48211.290475401562</v>
      </c>
      <c r="DK131" s="492">
        <f>+DM130</f>
        <v>5038539.0812500082</v>
      </c>
      <c r="DL131" s="476">
        <f>+DK$31</f>
        <v>549658.80886363634</v>
      </c>
      <c r="DM131" s="476">
        <f t="shared" si="172"/>
        <v>4488880.2723863721</v>
      </c>
      <c r="DN131" s="493">
        <f>+DK$28*DM131+DL131</f>
        <v>1054879.0056052862</v>
      </c>
      <c r="DO131" s="492">
        <f>+DQ130</f>
        <v>199192.48928030278</v>
      </c>
      <c r="DP131" s="476">
        <f>+DO$31</f>
        <v>19592.703863636354</v>
      </c>
      <c r="DQ131" s="476">
        <f t="shared" si="148"/>
        <v>179599.78541666642</v>
      </c>
      <c r="DR131" s="493">
        <f>+DO$28*DQ131+DP131</f>
        <v>39806.528563115047</v>
      </c>
      <c r="DS131" s="492">
        <f>+DU130</f>
        <v>87105.403636363539</v>
      </c>
      <c r="DT131" s="476">
        <f>+DS$31</f>
        <v>8295.7527272726966</v>
      </c>
      <c r="DU131" s="476">
        <f t="shared" si="173"/>
        <v>78809.650909090837</v>
      </c>
      <c r="DV131" s="493">
        <f>+DS$28*DU131+DT131</f>
        <v>17165.721387912552</v>
      </c>
      <c r="DW131" s="492">
        <f>+DY130</f>
        <v>12523.074943181771</v>
      </c>
      <c r="DX131" s="476">
        <f>+DW$31</f>
        <v>1221.7634090909089</v>
      </c>
      <c r="DY131" s="476">
        <f t="shared" si="174"/>
        <v>11301.311534090863</v>
      </c>
      <c r="DZ131" s="493">
        <f>+DW$28*DY131+DX131</f>
        <v>2493.7177696951194</v>
      </c>
      <c r="EA131" s="492">
        <f>+EC130</f>
        <v>-77729.959034091502</v>
      </c>
      <c r="EB131" s="476">
        <f>+EA$31</f>
        <v>-7120.3015909091364</v>
      </c>
      <c r="EC131" s="476">
        <f t="shared" si="175"/>
        <v>-70609.657443182368</v>
      </c>
      <c r="ED131" s="493">
        <f>+EA$28*EC131+EB131</f>
        <v>-15067.366974842944</v>
      </c>
      <c r="EE131" s="576">
        <f>+EG130</f>
        <v>2390151.7359090997</v>
      </c>
      <c r="EF131" s="580">
        <f>+EE$31</f>
        <v>192495.44181818186</v>
      </c>
      <c r="EG131" s="580">
        <f t="shared" ref="EG131:EG156" si="176">+EE131-EF131</f>
        <v>2197656.2940909178</v>
      </c>
      <c r="EH131" s="493">
        <f>+EE$28*EG131+EF131</f>
        <v>439840.05292336561</v>
      </c>
      <c r="EI131" s="576">
        <f>+EK130</f>
        <v>98767.9204166665</v>
      </c>
      <c r="EJ131" s="580">
        <f>+EI$31</f>
        <v>7696.2015909090906</v>
      </c>
      <c r="EK131" s="580">
        <f t="shared" ref="EK131:EK156" si="177">+EI131-EJ131</f>
        <v>91071.718825757416</v>
      </c>
      <c r="EL131" s="493">
        <f>+EI$28*EK131+EJ131</f>
        <v>17946.257041438836</v>
      </c>
      <c r="EM131" s="576">
        <f>+EO130</f>
        <v>3396593.9652272686</v>
      </c>
      <c r="EN131" s="580">
        <f>+EM$31</f>
        <v>261276.45886363636</v>
      </c>
      <c r="EO131" s="580">
        <f t="shared" ref="EO131:EO156" si="178">+EM131-EN131</f>
        <v>3135317.5063636322</v>
      </c>
      <c r="EP131" s="493">
        <f>+EM$28*EO131+EN131</f>
        <v>614154.1547016846</v>
      </c>
      <c r="EQ131" s="576">
        <f>+ES130</f>
        <v>6757830.0797727127</v>
      </c>
      <c r="ER131" s="580">
        <f>+EQ$31</f>
        <v>500580.00590909086</v>
      </c>
      <c r="ES131" s="580">
        <f t="shared" ref="ES131:ES158" si="179">+EQ131-ER131</f>
        <v>6257250.0738636218</v>
      </c>
      <c r="ET131" s="493">
        <f>+EQ$28*ES131+ER131</f>
        <v>1204828.9324901695</v>
      </c>
      <c r="EU131" s="576">
        <f>+EW130</f>
        <v>8732011.6186363585</v>
      </c>
      <c r="EV131" s="580">
        <f>+EU$31</f>
        <v>646815.67545454553</v>
      </c>
      <c r="EW131" s="580">
        <f t="shared" si="95"/>
        <v>8085195.9431818128</v>
      </c>
      <c r="EX131" s="493">
        <f>+EU$28*EW131+EV131</f>
        <v>1556798.5748063135</v>
      </c>
      <c r="EY131" s="582">
        <f t="shared" si="103"/>
        <v>15241300.791804537</v>
      </c>
      <c r="EZ131" s="557"/>
      <c r="FA131" s="578">
        <f>+EY131</f>
        <v>15241300.791804537</v>
      </c>
      <c r="FD131" s="492"/>
      <c r="FE131" s="476"/>
      <c r="FF131" s="476"/>
      <c r="FG131" s="493"/>
      <c r="FH131" s="492"/>
      <c r="FI131" s="476"/>
      <c r="FJ131" s="476"/>
      <c r="FK131" s="493"/>
      <c r="FL131" s="492"/>
      <c r="FM131" s="476"/>
      <c r="FN131" s="476"/>
      <c r="FO131" s="493"/>
      <c r="FP131" s="492"/>
      <c r="FQ131" s="476"/>
      <c r="FR131" s="476"/>
      <c r="FS131" s="493"/>
      <c r="FT131" s="492"/>
      <c r="FU131" s="476"/>
      <c r="FV131" s="476"/>
      <c r="FW131" s="493"/>
      <c r="FX131" s="492"/>
      <c r="FY131" s="476"/>
      <c r="FZ131" s="476"/>
      <c r="GA131" s="493"/>
      <c r="GB131" s="492"/>
      <c r="GC131" s="476"/>
      <c r="GD131" s="476"/>
      <c r="GE131" s="493"/>
      <c r="GF131" s="492"/>
      <c r="GG131" s="476"/>
      <c r="GH131" s="476"/>
      <c r="GI131" s="493"/>
      <c r="GJ131" s="492"/>
      <c r="GK131" s="476"/>
      <c r="GL131" s="476"/>
      <c r="GM131" s="493"/>
      <c r="GN131" s="492"/>
      <c r="GO131" s="476"/>
      <c r="GP131" s="476"/>
      <c r="GQ131" s="493"/>
      <c r="GR131" s="492"/>
      <c r="GS131" s="476"/>
      <c r="GT131" s="476"/>
      <c r="GU131" s="493"/>
      <c r="GV131" s="492"/>
      <c r="GW131" s="476"/>
      <c r="GX131" s="476"/>
      <c r="GY131" s="493"/>
      <c r="GZ131" s="492"/>
      <c r="HA131" s="476"/>
      <c r="HB131" s="476"/>
      <c r="HC131" s="493"/>
      <c r="HD131" s="576"/>
      <c r="HE131" s="580"/>
      <c r="HF131" s="580"/>
      <c r="HG131" s="918"/>
      <c r="HH131" s="919"/>
      <c r="HI131" s="925"/>
      <c r="HJ131" s="925"/>
      <c r="HK131" s="918"/>
      <c r="HL131" s="919"/>
      <c r="HM131" s="925"/>
      <c r="HN131" s="925"/>
      <c r="HO131" s="918"/>
      <c r="HP131" s="919"/>
      <c r="HQ131" s="925"/>
      <c r="HR131" s="925"/>
      <c r="HS131" s="918"/>
      <c r="HT131" s="919"/>
      <c r="HU131" s="925"/>
      <c r="HV131" s="925"/>
      <c r="HW131" s="918"/>
      <c r="HY131" s="492"/>
      <c r="HZ131" s="476"/>
      <c r="IA131" s="476"/>
      <c r="IB131" s="493"/>
      <c r="IC131" s="492"/>
      <c r="ID131" s="476"/>
      <c r="IE131" s="476"/>
      <c r="IF131" s="493"/>
      <c r="IG131" s="492"/>
      <c r="IH131" s="476"/>
      <c r="II131" s="476"/>
      <c r="IJ131" s="493"/>
    </row>
    <row r="132" spans="1:244">
      <c r="A132" s="554" t="s">
        <v>23</v>
      </c>
      <c r="B132" s="574">
        <v>2052</v>
      </c>
      <c r="C132" s="575">
        <f>+C131</f>
        <v>334343.98806817178</v>
      </c>
      <c r="D132" s="575">
        <f>+D131</f>
        <v>334343.98806818185</v>
      </c>
      <c r="E132" s="575">
        <f>+C132-D132</f>
        <v>-1.0069925338029861E-8</v>
      </c>
      <c r="F132" s="558">
        <f>+C$29*E132+D132</f>
        <v>334343.98806818062</v>
      </c>
      <c r="G132" s="575">
        <f>+G131</f>
        <v>57920.37477272535</v>
      </c>
      <c r="H132" s="575">
        <f>+H131</f>
        <v>57920.374772727271</v>
      </c>
      <c r="I132" s="575">
        <f>+G132-H132</f>
        <v>-1.9208528101444244E-9</v>
      </c>
      <c r="J132" s="558">
        <f>+G$29*I132+H132</f>
        <v>57920.374772727046</v>
      </c>
      <c r="K132" s="576"/>
      <c r="L132" s="575"/>
      <c r="M132" s="575"/>
      <c r="N132" s="558"/>
      <c r="O132" s="576">
        <f>+O131</f>
        <v>218746.58333333005</v>
      </c>
      <c r="P132" s="575">
        <f>+P131</f>
        <v>119316.31818181818</v>
      </c>
      <c r="Q132" s="575">
        <f t="shared" si="153"/>
        <v>99430.265151511878</v>
      </c>
      <c r="R132" s="558">
        <f>+O$29*Q132+P132</f>
        <v>131155.23481317016</v>
      </c>
      <c r="S132" s="492">
        <f>+S131</f>
        <v>9719.2842424211558</v>
      </c>
      <c r="T132" s="476">
        <f>+T131</f>
        <v>9719.2842424242408</v>
      </c>
      <c r="U132" s="476">
        <f t="shared" si="154"/>
        <v>-3.0850060284137726E-9</v>
      </c>
      <c r="V132" s="493">
        <f>+S$29*U132+T132</f>
        <v>9719.2842424238734</v>
      </c>
      <c r="W132" s="492">
        <f>+W131</f>
        <v>1271038.2916666768</v>
      </c>
      <c r="X132" s="476">
        <f>+X131</f>
        <v>693293.61363636365</v>
      </c>
      <c r="Y132" s="476">
        <f t="shared" si="155"/>
        <v>577744.67803031311</v>
      </c>
      <c r="Z132" s="493">
        <f>+W$29*Y132+X132</f>
        <v>762084.24863050331</v>
      </c>
      <c r="AA132" s="492">
        <f>+AA131</f>
        <v>864097.14962121006</v>
      </c>
      <c r="AB132" s="476">
        <f>+AB131</f>
        <v>450833.29545454547</v>
      </c>
      <c r="AC132" s="476">
        <f t="shared" si="156"/>
        <v>413263.85416666459</v>
      </c>
      <c r="AD132" s="493">
        <f>+AA$29*AC132+AB132</f>
        <v>500039.60410488455</v>
      </c>
      <c r="AE132" s="492">
        <f>+AE131</f>
        <v>6896.8295454546096</v>
      </c>
      <c r="AF132" s="476">
        <f>+AF131</f>
        <v>4597.886363636364</v>
      </c>
      <c r="AG132" s="476">
        <f t="shared" si="157"/>
        <v>2298.9431818182456</v>
      </c>
      <c r="AH132" s="493">
        <f>+AE$29*AG132+AF132</f>
        <v>4871.6158626806236</v>
      </c>
      <c r="AI132" s="492">
        <f>+AI131</f>
        <v>837384.39015152003</v>
      </c>
      <c r="AJ132" s="476">
        <f>+AJ131</f>
        <v>295547.43181818182</v>
      </c>
      <c r="AK132" s="476">
        <f t="shared" si="161"/>
        <v>541836.95833333815</v>
      </c>
      <c r="AL132" s="493">
        <f>+AI$29*AK132+AJ132</f>
        <v>360062.62312053744</v>
      </c>
      <c r="AM132" s="492">
        <f>+AM131</f>
        <v>277167.2892045459</v>
      </c>
      <c r="AN132" s="476">
        <f>+AN131</f>
        <v>110866.91568181818</v>
      </c>
      <c r="AO132" s="476">
        <f t="shared" si="158"/>
        <v>166300.37352272772</v>
      </c>
      <c r="AP132" s="493">
        <f>+AM$29*AO132+AN132</f>
        <v>130667.89131934852</v>
      </c>
      <c r="AQ132" s="492">
        <f>+AQ131</f>
        <v>2488563.6525000008</v>
      </c>
      <c r="AR132" s="476">
        <f>+AR131</f>
        <v>904932.23727272719</v>
      </c>
      <c r="AS132" s="476">
        <f t="shared" si="159"/>
        <v>1583631.4152272735</v>
      </c>
      <c r="AT132" s="493">
        <f>+AQ$29*AS132+AR132</f>
        <v>1093491.3271142025</v>
      </c>
      <c r="AU132" s="575"/>
      <c r="AV132" s="575"/>
      <c r="AW132" s="575"/>
      <c r="AX132" s="558"/>
      <c r="AY132" s="575"/>
      <c r="AZ132" s="575"/>
      <c r="BA132" s="575"/>
      <c r="BB132" s="558"/>
      <c r="BC132" s="575"/>
      <c r="BD132" s="575"/>
      <c r="BE132" s="575"/>
      <c r="BF132" s="558"/>
      <c r="BG132" s="575"/>
      <c r="BH132" s="575"/>
      <c r="BI132" s="575"/>
      <c r="BJ132" s="558"/>
      <c r="BK132" s="575"/>
      <c r="BL132" s="575"/>
      <c r="BM132" s="575"/>
      <c r="BN132" s="558"/>
      <c r="BO132" s="575"/>
      <c r="BP132" s="575"/>
      <c r="BQ132" s="575"/>
      <c r="BR132" s="558"/>
      <c r="BS132" s="492">
        <f>+BS131</f>
        <v>24932.659090909339</v>
      </c>
      <c r="BT132" s="476">
        <f>+BT131</f>
        <v>8310.886363636364</v>
      </c>
      <c r="BU132" s="476">
        <f t="shared" si="160"/>
        <v>16621.772727272975</v>
      </c>
      <c r="BV132" s="493">
        <f>+BS$29*BU132+BT132</f>
        <v>10289.999878858371</v>
      </c>
      <c r="BW132" s="492">
        <f>+BW131</f>
        <v>2018944.2954545619</v>
      </c>
      <c r="BX132" s="476">
        <f>+BX131</f>
        <v>576841.22727272729</v>
      </c>
      <c r="BY132" s="476">
        <f t="shared" si="162"/>
        <v>1442103.0681818346</v>
      </c>
      <c r="BZ132" s="493">
        <f>+BW$29*BY132+BX132</f>
        <v>739148.8745295424</v>
      </c>
      <c r="CA132" s="492">
        <f>+CA131</f>
        <v>195054.88000000169</v>
      </c>
      <c r="CB132" s="476">
        <f>+CB131</f>
        <v>54433.919999999998</v>
      </c>
      <c r="CC132" s="476">
        <f t="shared" si="163"/>
        <v>140620.96000000171</v>
      </c>
      <c r="CD132" s="493">
        <f>+CA$29*CC132+CB132</f>
        <v>71177.311154834795</v>
      </c>
      <c r="CE132" s="492">
        <f>+CE131</f>
        <v>15356.344545454755</v>
      </c>
      <c r="CF132" s="476">
        <f>+CF131</f>
        <v>4725.0290909090909</v>
      </c>
      <c r="CG132" s="476">
        <f t="shared" si="164"/>
        <v>10631.315454545664</v>
      </c>
      <c r="CH132" s="493">
        <f>+CE$29*CG132+CF132</f>
        <v>5990.8736218090098</v>
      </c>
      <c r="CI132" s="492">
        <f>+CI131</f>
        <v>51511.363636363341</v>
      </c>
      <c r="CJ132" s="476">
        <f>+CJ131</f>
        <v>12362.727272727272</v>
      </c>
      <c r="CK132" s="476">
        <f t="shared" si="165"/>
        <v>39148.636363636069</v>
      </c>
      <c r="CL132" s="493">
        <f>+CI$29*CK132+CJ132</f>
        <v>16768.877707942334</v>
      </c>
      <c r="CM132" s="492">
        <f>+CM131</f>
        <v>4232301.9275568314</v>
      </c>
      <c r="CN132" s="476">
        <f>+CN131</f>
        <v>483691.64886363636</v>
      </c>
      <c r="CO132" s="476">
        <f t="shared" si="166"/>
        <v>3748610.278693195</v>
      </c>
      <c r="CP132" s="493">
        <f>+CM$29*CO132+CN132</f>
        <v>905594.99838254182</v>
      </c>
      <c r="CQ132" s="492">
        <f>+CQ131</f>
        <v>17655189.687784098</v>
      </c>
      <c r="CR132" s="476">
        <f>+CR131</f>
        <v>2017735.9643181816</v>
      </c>
      <c r="CS132" s="476">
        <f t="shared" si="167"/>
        <v>15637453.723465916</v>
      </c>
      <c r="CT132" s="493">
        <f>+CQ$29*CS132+CR132</f>
        <v>3777719.9619550621</v>
      </c>
      <c r="CU132" s="492">
        <f>+CU131</f>
        <v>6085758.3525000177</v>
      </c>
      <c r="CV132" s="476">
        <f>+CV131</f>
        <v>676195.37250000006</v>
      </c>
      <c r="CW132" s="476">
        <f t="shared" si="168"/>
        <v>5409562.9800000172</v>
      </c>
      <c r="CX132" s="493">
        <f>+CU$29*CW132+CV132</f>
        <v>1285037.7356733512</v>
      </c>
      <c r="CY132" s="492">
        <f>+CY131</f>
        <v>6970.3767045454515</v>
      </c>
      <c r="CZ132" s="476">
        <f>+CZ131</f>
        <v>733.72386363636497</v>
      </c>
      <c r="DA132" s="476">
        <f t="shared" si="169"/>
        <v>6236.6528409090861</v>
      </c>
      <c r="DB132" s="493">
        <f>+CY$29*DA132+CZ132</f>
        <v>1435.6545866891297</v>
      </c>
      <c r="DC132" s="492">
        <f>+DC131</f>
        <v>411908.72272727464</v>
      </c>
      <c r="DD132" s="476">
        <f>+DD131</f>
        <v>44530.672727272722</v>
      </c>
      <c r="DE132" s="476">
        <f t="shared" si="170"/>
        <v>367378.05000000191</v>
      </c>
      <c r="DF132" s="493">
        <f>+DC$29*DE132+DD132</f>
        <v>85878.803984267157</v>
      </c>
      <c r="DG132" s="492">
        <f>+DG131</f>
        <v>234075.00602272642</v>
      </c>
      <c r="DH132" s="476">
        <f>+DH131</f>
        <v>24639.474318181816</v>
      </c>
      <c r="DI132" s="476">
        <f t="shared" si="171"/>
        <v>209435.53170454461</v>
      </c>
      <c r="DJ132" s="493">
        <f>+DG$29*DI132+DH132</f>
        <v>48211.290475401562</v>
      </c>
      <c r="DK132" s="492">
        <f>+DK131</f>
        <v>5038539.0812500082</v>
      </c>
      <c r="DL132" s="476">
        <f>+DL131</f>
        <v>549658.80886363634</v>
      </c>
      <c r="DM132" s="476">
        <f t="shared" si="172"/>
        <v>4488880.2723863721</v>
      </c>
      <c r="DN132" s="493">
        <f>+DK$29*DM132+DL132</f>
        <v>1054879.0056052862</v>
      </c>
      <c r="DO132" s="492">
        <f>+DO131</f>
        <v>199192.48928030278</v>
      </c>
      <c r="DP132" s="476">
        <f>+DP131</f>
        <v>19592.703863636354</v>
      </c>
      <c r="DQ132" s="476">
        <f t="shared" si="148"/>
        <v>179599.78541666642</v>
      </c>
      <c r="DR132" s="493">
        <f>+DO$29*DQ132+DP132</f>
        <v>39806.528563115047</v>
      </c>
      <c r="DS132" s="492">
        <f>+DS131</f>
        <v>87105.403636363539</v>
      </c>
      <c r="DT132" s="476">
        <f>+DT131</f>
        <v>8295.7527272726966</v>
      </c>
      <c r="DU132" s="476">
        <f t="shared" si="173"/>
        <v>78809.650909090837</v>
      </c>
      <c r="DV132" s="493">
        <f>+DS$29*DU132+DT132</f>
        <v>17165.721387912552</v>
      </c>
      <c r="DW132" s="492">
        <f>+DW131</f>
        <v>12523.074943181771</v>
      </c>
      <c r="DX132" s="476">
        <f>+DX131</f>
        <v>1221.7634090909089</v>
      </c>
      <c r="DY132" s="476">
        <f t="shared" si="174"/>
        <v>11301.311534090863</v>
      </c>
      <c r="DZ132" s="493">
        <f>+DW$29*DY132+DX132</f>
        <v>2493.7177696951194</v>
      </c>
      <c r="EA132" s="492">
        <f>+EA131</f>
        <v>-77729.959034091502</v>
      </c>
      <c r="EB132" s="476">
        <f>+EB131</f>
        <v>-7120.3015909091364</v>
      </c>
      <c r="EC132" s="476">
        <f t="shared" si="175"/>
        <v>-70609.657443182368</v>
      </c>
      <c r="ED132" s="493">
        <f>+EA$29*EC132+EB132</f>
        <v>-15067.366974842944</v>
      </c>
      <c r="EE132" s="576">
        <f>+EE131</f>
        <v>2390151.7359090997</v>
      </c>
      <c r="EF132" s="580">
        <f>+EF131</f>
        <v>192495.44181818186</v>
      </c>
      <c r="EG132" s="580">
        <f t="shared" si="176"/>
        <v>2197656.2940909178</v>
      </c>
      <c r="EH132" s="493">
        <f>+EE$29*EG132+EF132</f>
        <v>439840.05292336561</v>
      </c>
      <c r="EI132" s="576">
        <f>+EI131</f>
        <v>98767.9204166665</v>
      </c>
      <c r="EJ132" s="580">
        <f>+EJ131</f>
        <v>7696.2015909090906</v>
      </c>
      <c r="EK132" s="580">
        <f t="shared" si="177"/>
        <v>91071.718825757416</v>
      </c>
      <c r="EL132" s="493">
        <f>+EI$29*EK132+EJ132</f>
        <v>17946.257041438836</v>
      </c>
      <c r="EM132" s="576">
        <f>+EM131</f>
        <v>3396593.9652272686</v>
      </c>
      <c r="EN132" s="580">
        <f>+EN131</f>
        <v>261276.45886363636</v>
      </c>
      <c r="EO132" s="580">
        <f t="shared" si="178"/>
        <v>3135317.5063636322</v>
      </c>
      <c r="EP132" s="493">
        <f>+EM$29*EO132+EN132</f>
        <v>614154.1547016846</v>
      </c>
      <c r="EQ132" s="576">
        <f>+EQ131</f>
        <v>6757830.0797727127</v>
      </c>
      <c r="ER132" s="580">
        <f>+ER131</f>
        <v>500580.00590909086</v>
      </c>
      <c r="ES132" s="580">
        <f t="shared" si="179"/>
        <v>6257250.0738636218</v>
      </c>
      <c r="ET132" s="493">
        <f>+EQ$29*ES132+ER132</f>
        <v>1204828.9324901695</v>
      </c>
      <c r="EU132" s="576">
        <f>+EU131</f>
        <v>8732011.6186363585</v>
      </c>
      <c r="EV132" s="580">
        <f>+EV131</f>
        <v>646815.67545454553</v>
      </c>
      <c r="EW132" s="580">
        <f t="shared" si="95"/>
        <v>8085195.9431818128</v>
      </c>
      <c r="EX132" s="493">
        <f>+EU$29*EW132+EV132</f>
        <v>1556798.5748063135</v>
      </c>
      <c r="EY132" s="582">
        <f t="shared" si="103"/>
        <v>15264456.152313102</v>
      </c>
      <c r="EZ132" s="579">
        <f>+EY132</f>
        <v>15264456.152313102</v>
      </c>
      <c r="FA132" s="553"/>
      <c r="FD132" s="492"/>
      <c r="FE132" s="476"/>
      <c r="FF132" s="476"/>
      <c r="FG132" s="493"/>
      <c r="FH132" s="492"/>
      <c r="FI132" s="476"/>
      <c r="FJ132" s="476"/>
      <c r="FK132" s="493"/>
      <c r="FL132" s="492"/>
      <c r="FM132" s="476"/>
      <c r="FN132" s="476"/>
      <c r="FO132" s="493"/>
      <c r="FP132" s="492"/>
      <c r="FQ132" s="476"/>
      <c r="FR132" s="476"/>
      <c r="FS132" s="493"/>
      <c r="FT132" s="492"/>
      <c r="FU132" s="476"/>
      <c r="FV132" s="476"/>
      <c r="FW132" s="493"/>
      <c r="FX132" s="492"/>
      <c r="FY132" s="476"/>
      <c r="FZ132" s="476"/>
      <c r="GA132" s="493"/>
      <c r="GB132" s="492"/>
      <c r="GC132" s="476"/>
      <c r="GD132" s="476"/>
      <c r="GE132" s="493"/>
      <c r="GF132" s="492"/>
      <c r="GG132" s="476"/>
      <c r="GH132" s="476"/>
      <c r="GI132" s="493"/>
      <c r="GJ132" s="492"/>
      <c r="GK132" s="476"/>
      <c r="GL132" s="476"/>
      <c r="GM132" s="493"/>
      <c r="GN132" s="492"/>
      <c r="GO132" s="476"/>
      <c r="GP132" s="476"/>
      <c r="GQ132" s="493"/>
      <c r="GR132" s="492"/>
      <c r="GS132" s="476"/>
      <c r="GT132" s="476"/>
      <c r="GU132" s="493"/>
      <c r="GV132" s="492"/>
      <c r="GW132" s="476"/>
      <c r="GX132" s="476"/>
      <c r="GY132" s="493"/>
      <c r="GZ132" s="492"/>
      <c r="HA132" s="476"/>
      <c r="HB132" s="476"/>
      <c r="HC132" s="493"/>
      <c r="HD132" s="576"/>
      <c r="HE132" s="580"/>
      <c r="HF132" s="580"/>
      <c r="HG132" s="918"/>
      <c r="HH132" s="919"/>
      <c r="HI132" s="925"/>
      <c r="HJ132" s="925"/>
      <c r="HK132" s="918"/>
      <c r="HL132" s="919"/>
      <c r="HM132" s="925"/>
      <c r="HN132" s="925"/>
      <c r="HO132" s="918"/>
      <c r="HP132" s="919"/>
      <c r="HQ132" s="925"/>
      <c r="HR132" s="925"/>
      <c r="HS132" s="918"/>
      <c r="HT132" s="919"/>
      <c r="HU132" s="925"/>
      <c r="HV132" s="925"/>
      <c r="HW132" s="918"/>
      <c r="HY132" s="492"/>
      <c r="HZ132" s="476"/>
      <c r="IA132" s="476"/>
      <c r="IB132" s="493"/>
      <c r="IC132" s="492"/>
      <c r="ID132" s="476"/>
      <c r="IE132" s="476"/>
      <c r="IF132" s="493"/>
      <c r="IG132" s="492"/>
      <c r="IH132" s="476"/>
      <c r="II132" s="476"/>
      <c r="IJ132" s="493"/>
    </row>
    <row r="133" spans="1:244">
      <c r="A133" s="554" t="s">
        <v>24</v>
      </c>
      <c r="B133" s="574">
        <v>2053</v>
      </c>
      <c r="C133" s="575"/>
      <c r="D133" s="575"/>
      <c r="E133" s="575"/>
      <c r="F133" s="558"/>
      <c r="G133" s="575"/>
      <c r="H133" s="575"/>
      <c r="I133" s="575"/>
      <c r="J133" s="558"/>
      <c r="K133" s="563"/>
      <c r="L133" s="563"/>
      <c r="M133" s="563"/>
      <c r="N133" s="558"/>
      <c r="O133" s="576">
        <f>+Q132</f>
        <v>99430.265151511878</v>
      </c>
      <c r="P133" s="575">
        <f>+O$31/12*O32</f>
        <v>99430.265151515137</v>
      </c>
      <c r="Q133" s="575">
        <f t="shared" ref="Q133:Q134" si="180">+O133-P133</f>
        <v>-3.2596290111541748E-9</v>
      </c>
      <c r="R133" s="558">
        <f>+O$28*Q133+P133</f>
        <v>99430.265151514774</v>
      </c>
      <c r="S133" s="492"/>
      <c r="T133" s="575"/>
      <c r="U133" s="476"/>
      <c r="V133" s="493"/>
      <c r="W133" s="492">
        <f>+Y132</f>
        <v>577744.67803031311</v>
      </c>
      <c r="X133" s="476">
        <f>+W$31/12*W32</f>
        <v>577744.67803030298</v>
      </c>
      <c r="Y133" s="476">
        <f t="shared" ref="Y133:Y134" si="181">+W133-X133</f>
        <v>1.0128132998943329E-8</v>
      </c>
      <c r="Z133" s="493">
        <f>+W$28*Y133+X133</f>
        <v>577744.67803030415</v>
      </c>
      <c r="AA133" s="492">
        <f>+AC132</f>
        <v>413263.85416666459</v>
      </c>
      <c r="AB133" s="476">
        <f>+AA$31/12*AA32</f>
        <v>413263.85416666669</v>
      </c>
      <c r="AC133" s="476">
        <f t="shared" ref="AC133:AC134" si="182">+AA133-AB133</f>
        <v>-2.0954757928848267E-9</v>
      </c>
      <c r="AD133" s="493">
        <f>+AA$28*AC133+AB133</f>
        <v>413263.85416666645</v>
      </c>
      <c r="AE133" s="492">
        <f>+AG132</f>
        <v>2298.9431818182456</v>
      </c>
      <c r="AF133" s="476">
        <f>+AE$31/12*AE32</f>
        <v>2298.943181818182</v>
      </c>
      <c r="AG133" s="476">
        <f t="shared" ref="AG133:AG134" si="183">+AE133-AF133</f>
        <v>6.3664629124104977E-11</v>
      </c>
      <c r="AH133" s="493">
        <f>+AE$28*AG133+AF133</f>
        <v>2298.9431818181893</v>
      </c>
      <c r="AI133" s="492">
        <f>+AK132</f>
        <v>541836.95833333815</v>
      </c>
      <c r="AJ133" s="476">
        <f>+AI$31</f>
        <v>295547.43181818182</v>
      </c>
      <c r="AK133" s="476">
        <f t="shared" ref="AK133:AK134" si="184">+AI133-AJ133</f>
        <v>246289.52651515632</v>
      </c>
      <c r="AL133" s="493">
        <f>+AI$28*AK133+AJ133</f>
        <v>323267.13817944005</v>
      </c>
      <c r="AM133" s="492">
        <f>+AO132</f>
        <v>166300.37352272772</v>
      </c>
      <c r="AN133" s="476">
        <f>+AM$31</f>
        <v>110866.91568181818</v>
      </c>
      <c r="AO133" s="476">
        <f t="shared" ref="AO133:AO134" si="185">+AM133-AN133</f>
        <v>55433.457840909541</v>
      </c>
      <c r="AP133" s="493">
        <f>+AM$28*AO133+AN133</f>
        <v>117105.91088263375</v>
      </c>
      <c r="AQ133" s="492">
        <f>+AS132</f>
        <v>1583631.4152272735</v>
      </c>
      <c r="AR133" s="476">
        <f>+AQ$31</f>
        <v>904932.23727272719</v>
      </c>
      <c r="AS133" s="476">
        <f t="shared" ref="AS133:AS134" si="186">+AQ133-AR133</f>
        <v>678699.17795454629</v>
      </c>
      <c r="AT133" s="493">
        <f>+AQ$28*AS133+AR133</f>
        <v>981319.33414495096</v>
      </c>
      <c r="AU133" s="575"/>
      <c r="AV133" s="575"/>
      <c r="AW133" s="575"/>
      <c r="AX133" s="558"/>
      <c r="AY133" s="575"/>
      <c r="AZ133" s="575"/>
      <c r="BA133" s="575"/>
      <c r="BB133" s="558"/>
      <c r="BC133" s="575"/>
      <c r="BD133" s="575"/>
      <c r="BE133" s="575"/>
      <c r="BF133" s="558"/>
      <c r="BG133" s="575"/>
      <c r="BH133" s="575"/>
      <c r="BI133" s="575"/>
      <c r="BJ133" s="558"/>
      <c r="BK133" s="575"/>
      <c r="BL133" s="575"/>
      <c r="BM133" s="575"/>
      <c r="BN133" s="558"/>
      <c r="BO133" s="575"/>
      <c r="BP133" s="575"/>
      <c r="BQ133" s="575"/>
      <c r="BR133" s="558"/>
      <c r="BS133" s="492">
        <f>+BU132</f>
        <v>16621.772727272975</v>
      </c>
      <c r="BT133" s="476">
        <f>+BS$31</f>
        <v>8310.886363636364</v>
      </c>
      <c r="BU133" s="476">
        <f t="shared" ref="BU133:BU134" si="187">+BS133-BT133</f>
        <v>8310.8863636366113</v>
      </c>
      <c r="BV133" s="493">
        <f>+BS$28*BU133+BT133</f>
        <v>9246.2705550043847</v>
      </c>
      <c r="BW133" s="492">
        <f>+BY132</f>
        <v>1442103.0681818346</v>
      </c>
      <c r="BX133" s="476">
        <f>+BW$31</f>
        <v>576841.22727272729</v>
      </c>
      <c r="BY133" s="476">
        <f t="shared" ref="BY133:BY134" si="188">+BW133-BX133</f>
        <v>865261.84090910736</v>
      </c>
      <c r="BZ133" s="493">
        <f>+BW$28*BY133+BX133</f>
        <v>674225.81562681706</v>
      </c>
      <c r="CA133" s="492">
        <f>+CC132</f>
        <v>140620.96000000171</v>
      </c>
      <c r="CB133" s="476">
        <f>+CA$31</f>
        <v>54433.919999999998</v>
      </c>
      <c r="CC133" s="476">
        <f t="shared" ref="CC133:CC134" si="189">+CA133-CB133</f>
        <v>86187.040000001711</v>
      </c>
      <c r="CD133" s="493">
        <f>+CA$28*CC133+CB133</f>
        <v>64134.20841563039</v>
      </c>
      <c r="CE133" s="492">
        <f>+CG132</f>
        <v>10631.315454545664</v>
      </c>
      <c r="CF133" s="476">
        <f>+CE$31</f>
        <v>4725.0290909090909</v>
      </c>
      <c r="CG133" s="476">
        <f t="shared" ref="CG133:CG134" si="190">+CE133-CF133</f>
        <v>5906.2863636365728</v>
      </c>
      <c r="CH133" s="493">
        <f>+CE$28*CG133+CF133</f>
        <v>5389.7773081883761</v>
      </c>
      <c r="CI133" s="492">
        <f>+CK132</f>
        <v>39148.636363636069</v>
      </c>
      <c r="CJ133" s="476">
        <f>+CI$31</f>
        <v>12362.727272727272</v>
      </c>
      <c r="CK133" s="476">
        <f t="shared" ref="CK133:CK134" si="191">+CI133-CJ133</f>
        <v>26785.909090908797</v>
      </c>
      <c r="CL133" s="493">
        <f>+CI$28*CK133+CJ133</f>
        <v>15377.461781032305</v>
      </c>
      <c r="CM133" s="492">
        <f>+CO132</f>
        <v>3748610.278693195</v>
      </c>
      <c r="CN133" s="476">
        <f>+CM$31</f>
        <v>483691.64886363636</v>
      </c>
      <c r="CO133" s="476">
        <f t="shared" ref="CO133:CO134" si="192">+CM133-CN133</f>
        <v>3264918.6298295585</v>
      </c>
      <c r="CP133" s="493">
        <f>+CM$28*CO133+CN133</f>
        <v>851155.85650913487</v>
      </c>
      <c r="CQ133" s="492">
        <f>+CS132</f>
        <v>15637453.723465916</v>
      </c>
      <c r="CR133" s="476">
        <f>+CQ$31</f>
        <v>2017735.9643181816</v>
      </c>
      <c r="CS133" s="476">
        <f t="shared" ref="CS133:CS134" si="193">+CQ133-CR133</f>
        <v>13619717.759147733</v>
      </c>
      <c r="CT133" s="493">
        <f>+CQ$28*CS133+CR133</f>
        <v>3550625.2525825612</v>
      </c>
      <c r="CU133" s="492">
        <f>+CW132</f>
        <v>5409562.9800000172</v>
      </c>
      <c r="CV133" s="476">
        <f>+CU$31</f>
        <v>676195.37250000006</v>
      </c>
      <c r="CW133" s="476">
        <f t="shared" ref="CW133:CW134" si="194">+CU133-CV133</f>
        <v>4733367.6075000167</v>
      </c>
      <c r="CX133" s="493">
        <f>+CU$28*CW133+CV133</f>
        <v>1208932.4402766824</v>
      </c>
      <c r="CY133" s="492">
        <f>+DA132</f>
        <v>6236.6528409090861</v>
      </c>
      <c r="CZ133" s="476">
        <f>+CY$31</f>
        <v>733.72386363636497</v>
      </c>
      <c r="DA133" s="476">
        <f t="shared" si="169"/>
        <v>5502.9289772727207</v>
      </c>
      <c r="DB133" s="493">
        <f>+CY$28*DA133+CZ133</f>
        <v>1353.0745016240985</v>
      </c>
      <c r="DC133" s="492">
        <f>+DE132</f>
        <v>367378.05000000191</v>
      </c>
      <c r="DD133" s="476">
        <f>+DC$31</f>
        <v>44530.672727272722</v>
      </c>
      <c r="DE133" s="476">
        <f t="shared" si="170"/>
        <v>322847.37727272918</v>
      </c>
      <c r="DF133" s="493">
        <f>+DC$28*DE133+DD133</f>
        <v>80866.909286449678</v>
      </c>
      <c r="DG133" s="492">
        <f>+DI132</f>
        <v>209435.53170454461</v>
      </c>
      <c r="DH133" s="476">
        <f>+DG$31</f>
        <v>24639.474318181816</v>
      </c>
      <c r="DI133" s="476">
        <f t="shared" si="171"/>
        <v>184796.05738636281</v>
      </c>
      <c r="DJ133" s="493">
        <f>+DG$28*DI133+DH133</f>
        <v>45438.135633375699</v>
      </c>
      <c r="DK133" s="492">
        <f>+DM132</f>
        <v>4488880.2723863721</v>
      </c>
      <c r="DL133" s="476">
        <f>+DK$31</f>
        <v>549658.80886363634</v>
      </c>
      <c r="DM133" s="476">
        <f t="shared" si="172"/>
        <v>3939221.463522736</v>
      </c>
      <c r="DN133" s="493">
        <f>+DK$28*DM133+DL133</f>
        <v>993015.30804508436</v>
      </c>
      <c r="DO133" s="492">
        <f>+DQ132</f>
        <v>179599.78541666642</v>
      </c>
      <c r="DP133" s="476">
        <f>+DO$31</f>
        <v>19592.703863636354</v>
      </c>
      <c r="DQ133" s="476">
        <f t="shared" si="148"/>
        <v>160007.08155303006</v>
      </c>
      <c r="DR133" s="493">
        <f>+DO$28*DQ133+DP133</f>
        <v>37601.384050444642</v>
      </c>
      <c r="DS133" s="492">
        <f>+DU132</f>
        <v>78809.650909090837</v>
      </c>
      <c r="DT133" s="476">
        <f>+DS$31</f>
        <v>8295.7527272726966</v>
      </c>
      <c r="DU133" s="476">
        <f t="shared" si="173"/>
        <v>70513.898181818135</v>
      </c>
      <c r="DV133" s="493">
        <f>+DS$28*DU133+DT133</f>
        <v>16232.040476266253</v>
      </c>
      <c r="DW133" s="492">
        <f>+DY132</f>
        <v>11301.311534090863</v>
      </c>
      <c r="DX133" s="476">
        <f>+DW$31</f>
        <v>1221.7634090909089</v>
      </c>
      <c r="DY133" s="476">
        <f t="shared" si="174"/>
        <v>10079.548124999954</v>
      </c>
      <c r="DZ133" s="493">
        <f>+DW$28*DY133+DX133</f>
        <v>2356.2091901703398</v>
      </c>
      <c r="EA133" s="492">
        <f>+EC132</f>
        <v>-70609.657443182368</v>
      </c>
      <c r="EB133" s="476">
        <f>+EA$31</f>
        <v>-7120.3015909091364</v>
      </c>
      <c r="EC133" s="476">
        <f t="shared" si="175"/>
        <v>-63489.355852273235</v>
      </c>
      <c r="ED133" s="493">
        <f>+EA$28*EC133+EB133</f>
        <v>-14265.982230244579</v>
      </c>
      <c r="EE133" s="576">
        <f>+EG132</f>
        <v>2197656.2940909178</v>
      </c>
      <c r="EF133" s="580">
        <f>+EE$31</f>
        <v>192495.44181818186</v>
      </c>
      <c r="EG133" s="580">
        <f t="shared" si="176"/>
        <v>2005160.8522727359</v>
      </c>
      <c r="EH133" s="493">
        <f>+EE$28*EG133+EF133</f>
        <v>418174.83151269268</v>
      </c>
      <c r="EI133" s="576">
        <f>+EK132</f>
        <v>91071.718825757416</v>
      </c>
      <c r="EJ133" s="580">
        <f>+EI$31</f>
        <v>7696.2015909090906</v>
      </c>
      <c r="EK133" s="580">
        <f t="shared" si="177"/>
        <v>83375.517234848332</v>
      </c>
      <c r="EL133" s="493">
        <f>+EI$28*EK133+EJ133</f>
        <v>17080.055172379984</v>
      </c>
      <c r="EM133" s="576">
        <f>+EO132</f>
        <v>3135317.5063636322</v>
      </c>
      <c r="EN133" s="580">
        <f>+EM$31</f>
        <v>261276.45886363636</v>
      </c>
      <c r="EO133" s="580">
        <f t="shared" si="178"/>
        <v>2874041.0474999957</v>
      </c>
      <c r="EP133" s="493">
        <f>+EM$28*EO133+EN133</f>
        <v>584747.68004851392</v>
      </c>
      <c r="EQ133" s="576">
        <f>+ES132</f>
        <v>6257250.0738636218</v>
      </c>
      <c r="ER133" s="580">
        <f>+EQ$31</f>
        <v>500580.00590909086</v>
      </c>
      <c r="ES133" s="580">
        <f t="shared" si="179"/>
        <v>5756670.0679545309</v>
      </c>
      <c r="ET133" s="493">
        <f>+EQ$28*ES133+ER133</f>
        <v>1148489.018363683</v>
      </c>
      <c r="EU133" s="576">
        <f>+EW132</f>
        <v>8085195.9431818128</v>
      </c>
      <c r="EV133" s="580">
        <f>+EU$31</f>
        <v>646815.67545454553</v>
      </c>
      <c r="EW133" s="580">
        <f t="shared" ref="EW133:EW158" si="195">+EU133-EV133</f>
        <v>7438380.267727267</v>
      </c>
      <c r="EX133" s="493">
        <f>+EU$28*EW133+EV133</f>
        <v>1483999.9428581721</v>
      </c>
      <c r="EY133" s="582">
        <f t="shared" si="103"/>
        <v>13708605.813700994</v>
      </c>
      <c r="EZ133" s="557"/>
      <c r="FA133" s="578">
        <f>+EY133</f>
        <v>13708605.813700994</v>
      </c>
      <c r="FD133" s="492"/>
      <c r="FE133" s="476"/>
      <c r="FF133" s="476"/>
      <c r="FG133" s="493"/>
      <c r="FH133" s="492"/>
      <c r="FI133" s="476"/>
      <c r="FJ133" s="476"/>
      <c r="FK133" s="493"/>
      <c r="FL133" s="492"/>
      <c r="FM133" s="476"/>
      <c r="FN133" s="476"/>
      <c r="FO133" s="493"/>
      <c r="FP133" s="492"/>
      <c r="FQ133" s="476"/>
      <c r="FR133" s="476"/>
      <c r="FS133" s="493"/>
      <c r="FT133" s="492"/>
      <c r="FU133" s="476"/>
      <c r="FV133" s="476"/>
      <c r="FW133" s="493"/>
      <c r="FX133" s="492"/>
      <c r="FY133" s="476"/>
      <c r="FZ133" s="476"/>
      <c r="GA133" s="493"/>
      <c r="GB133" s="492"/>
      <c r="GC133" s="476"/>
      <c r="GD133" s="476"/>
      <c r="GE133" s="493"/>
      <c r="GF133" s="492"/>
      <c r="GG133" s="476"/>
      <c r="GH133" s="476"/>
      <c r="GI133" s="493"/>
      <c r="GJ133" s="492"/>
      <c r="GK133" s="476"/>
      <c r="GL133" s="476"/>
      <c r="GM133" s="493"/>
      <c r="GN133" s="492"/>
      <c r="GO133" s="476"/>
      <c r="GP133" s="476"/>
      <c r="GQ133" s="493"/>
      <c r="GR133" s="492"/>
      <c r="GS133" s="476"/>
      <c r="GT133" s="476"/>
      <c r="GU133" s="493"/>
      <c r="GV133" s="492"/>
      <c r="GW133" s="476"/>
      <c r="GX133" s="476"/>
      <c r="GY133" s="493"/>
      <c r="GZ133" s="492"/>
      <c r="HA133" s="476"/>
      <c r="HB133" s="476"/>
      <c r="HC133" s="493"/>
      <c r="HD133" s="576"/>
      <c r="HE133" s="580"/>
      <c r="HF133" s="580"/>
      <c r="HG133" s="918"/>
      <c r="HH133" s="919"/>
      <c r="HI133" s="925"/>
      <c r="HJ133" s="925"/>
      <c r="HK133" s="918"/>
      <c r="HL133" s="919"/>
      <c r="HM133" s="925"/>
      <c r="HN133" s="925"/>
      <c r="HO133" s="918"/>
      <c r="HP133" s="919"/>
      <c r="HQ133" s="925"/>
      <c r="HR133" s="925"/>
      <c r="HS133" s="918"/>
      <c r="HT133" s="919"/>
      <c r="HU133" s="925"/>
      <c r="HV133" s="925"/>
      <c r="HW133" s="918"/>
      <c r="HY133" s="492"/>
      <c r="HZ133" s="476"/>
      <c r="IA133" s="476"/>
      <c r="IB133" s="493"/>
      <c r="IC133" s="492"/>
      <c r="ID133" s="476"/>
      <c r="IE133" s="476"/>
      <c r="IF133" s="493"/>
      <c r="IG133" s="492"/>
      <c r="IH133" s="476"/>
      <c r="II133" s="476"/>
      <c r="IJ133" s="493"/>
    </row>
    <row r="134" spans="1:244">
      <c r="A134" s="554" t="s">
        <v>23</v>
      </c>
      <c r="B134" s="574">
        <v>2053</v>
      </c>
      <c r="C134" s="575"/>
      <c r="D134" s="575"/>
      <c r="E134" s="575"/>
      <c r="F134" s="558"/>
      <c r="G134" s="575"/>
      <c r="H134" s="575"/>
      <c r="I134" s="575"/>
      <c r="J134" s="558"/>
      <c r="K134" s="563"/>
      <c r="L134" s="563"/>
      <c r="M134" s="563"/>
      <c r="N134" s="558"/>
      <c r="O134" s="576">
        <f>+O133</f>
        <v>99430.265151511878</v>
      </c>
      <c r="P134" s="575">
        <f>+P133</f>
        <v>99430.265151515137</v>
      </c>
      <c r="Q134" s="575">
        <f t="shared" si="180"/>
        <v>-3.2596290111541748E-9</v>
      </c>
      <c r="R134" s="558">
        <f>+O$29*Q134+P134</f>
        <v>99430.265151514745</v>
      </c>
      <c r="S134" s="492"/>
      <c r="T134" s="575"/>
      <c r="U134" s="476"/>
      <c r="V134" s="493"/>
      <c r="W134" s="492">
        <f>+W133</f>
        <v>577744.67803031311</v>
      </c>
      <c r="X134" s="476">
        <f>+X133</f>
        <v>577744.67803030298</v>
      </c>
      <c r="Y134" s="476">
        <f t="shared" si="181"/>
        <v>1.0128132998943329E-8</v>
      </c>
      <c r="Z134" s="493">
        <f>+W$29*Y134+X134</f>
        <v>577744.67803030415</v>
      </c>
      <c r="AA134" s="492">
        <f>+AA133</f>
        <v>413263.85416666459</v>
      </c>
      <c r="AB134" s="476">
        <f>+AB133</f>
        <v>413263.85416666669</v>
      </c>
      <c r="AC134" s="476">
        <f t="shared" si="182"/>
        <v>-2.0954757928848267E-9</v>
      </c>
      <c r="AD134" s="493">
        <f>+AA$29*AC134+AB134</f>
        <v>413263.85416666645</v>
      </c>
      <c r="AE134" s="492">
        <f>+AE133</f>
        <v>2298.9431818182456</v>
      </c>
      <c r="AF134" s="476">
        <f>+AF133</f>
        <v>2298.943181818182</v>
      </c>
      <c r="AG134" s="476">
        <f t="shared" si="183"/>
        <v>6.3664629124104977E-11</v>
      </c>
      <c r="AH134" s="493">
        <f>+AE$29*AG134+AF134</f>
        <v>2298.9431818181897</v>
      </c>
      <c r="AI134" s="492">
        <f>+AI133</f>
        <v>541836.95833333815</v>
      </c>
      <c r="AJ134" s="476">
        <f>+AJ133</f>
        <v>295547.43181818182</v>
      </c>
      <c r="AK134" s="476">
        <f t="shared" si="184"/>
        <v>246289.52651515632</v>
      </c>
      <c r="AL134" s="493">
        <f>+AI$29*AK134+AJ134</f>
        <v>324872.51877379831</v>
      </c>
      <c r="AM134" s="492">
        <f>+AM133</f>
        <v>166300.37352272772</v>
      </c>
      <c r="AN134" s="476">
        <f>+AN133</f>
        <v>110866.91568181818</v>
      </c>
      <c r="AO134" s="476">
        <f t="shared" si="185"/>
        <v>55433.457840909541</v>
      </c>
      <c r="AP134" s="493">
        <f>+AM$29*AO134+AN134</f>
        <v>117467.24089432834</v>
      </c>
      <c r="AQ134" s="492">
        <f>+AQ133</f>
        <v>1583631.4152272735</v>
      </c>
      <c r="AR134" s="476">
        <f>+AR133</f>
        <v>904932.23727272719</v>
      </c>
      <c r="AS134" s="476">
        <f t="shared" si="186"/>
        <v>678699.17795454629</v>
      </c>
      <c r="AT134" s="493">
        <f>+AQ$29*AS134+AR134</f>
        <v>985743.27577621676</v>
      </c>
      <c r="AU134" s="575"/>
      <c r="AV134" s="575"/>
      <c r="AW134" s="575"/>
      <c r="AX134" s="558"/>
      <c r="AY134" s="575"/>
      <c r="AZ134" s="575"/>
      <c r="BA134" s="575"/>
      <c r="BB134" s="558"/>
      <c r="BC134" s="575"/>
      <c r="BD134" s="575"/>
      <c r="BE134" s="575"/>
      <c r="BF134" s="558"/>
      <c r="BG134" s="575"/>
      <c r="BH134" s="575"/>
      <c r="BI134" s="575"/>
      <c r="BJ134" s="558"/>
      <c r="BK134" s="575"/>
      <c r="BL134" s="575"/>
      <c r="BM134" s="575"/>
      <c r="BN134" s="558"/>
      <c r="BO134" s="575"/>
      <c r="BP134" s="575"/>
      <c r="BQ134" s="575"/>
      <c r="BR134" s="558"/>
      <c r="BS134" s="492">
        <f>+BS133</f>
        <v>16621.772727272975</v>
      </c>
      <c r="BT134" s="476">
        <f>+BT133</f>
        <v>8310.886363636364</v>
      </c>
      <c r="BU134" s="476">
        <f t="shared" si="187"/>
        <v>8310.8863636366113</v>
      </c>
      <c r="BV134" s="493">
        <f>+BS$29*BU134+BT134</f>
        <v>9300.4431212473828</v>
      </c>
      <c r="BW134" s="492">
        <f>+BW133</f>
        <v>1442103.0681818346</v>
      </c>
      <c r="BX134" s="476">
        <f>+BX133</f>
        <v>576841.22727272729</v>
      </c>
      <c r="BY134" s="476">
        <f t="shared" si="188"/>
        <v>865261.84090910736</v>
      </c>
      <c r="BZ134" s="493">
        <f>+BW$29*BY134+BX134</f>
        <v>674225.81562681706</v>
      </c>
      <c r="CA134" s="492">
        <f>+CA133</f>
        <v>140620.96000000171</v>
      </c>
      <c r="CB134" s="476">
        <f>+CB133</f>
        <v>54433.919999999998</v>
      </c>
      <c r="CC134" s="476">
        <f t="shared" si="189"/>
        <v>86187.040000001711</v>
      </c>
      <c r="CD134" s="493">
        <f>+CA$29*CC134+CB134</f>
        <v>64695.998449737534</v>
      </c>
      <c r="CE134" s="492">
        <f>+CE133</f>
        <v>10631.315454545664</v>
      </c>
      <c r="CF134" s="476">
        <f>+CF133</f>
        <v>4725.0290909090909</v>
      </c>
      <c r="CG134" s="476">
        <f t="shared" si="190"/>
        <v>5906.2863636365728</v>
      </c>
      <c r="CH134" s="493">
        <f>+CE$29*CG134+CF134</f>
        <v>5428.2760525201675</v>
      </c>
      <c r="CI134" s="492">
        <f>+CI133</f>
        <v>39148.636363636069</v>
      </c>
      <c r="CJ134" s="476">
        <f>+CJ133</f>
        <v>12362.727272727272</v>
      </c>
      <c r="CK134" s="476">
        <f t="shared" si="191"/>
        <v>26785.909090908797</v>
      </c>
      <c r="CL134" s="493">
        <f>+CI$29*CK134+CJ134</f>
        <v>15377.461781032305</v>
      </c>
      <c r="CM134" s="492">
        <f>+CM133</f>
        <v>3748610.278693195</v>
      </c>
      <c r="CN134" s="476">
        <f>+CN133</f>
        <v>483691.64886363636</v>
      </c>
      <c r="CO134" s="476">
        <f t="shared" si="192"/>
        <v>3264918.6298295585</v>
      </c>
      <c r="CP134" s="493">
        <f>+CM$29*CO134+CN134</f>
        <v>851155.85650913487</v>
      </c>
      <c r="CQ134" s="492">
        <f>+CQ133</f>
        <v>15637453.723465916</v>
      </c>
      <c r="CR134" s="476">
        <f>+CR133</f>
        <v>2017735.9643181816</v>
      </c>
      <c r="CS134" s="476">
        <f t="shared" si="193"/>
        <v>13619717.759147733</v>
      </c>
      <c r="CT134" s="493">
        <f>+CQ$29*CS134+CR134</f>
        <v>3550625.2525825612</v>
      </c>
      <c r="CU134" s="492">
        <f>+CU133</f>
        <v>5409562.9800000172</v>
      </c>
      <c r="CV134" s="476">
        <f>+CV133</f>
        <v>676195.37250000006</v>
      </c>
      <c r="CW134" s="476">
        <f t="shared" si="194"/>
        <v>4733367.6075000167</v>
      </c>
      <c r="CX134" s="493">
        <f>+CU$29*CW134+CV134</f>
        <v>1208932.4402766824</v>
      </c>
      <c r="CY134" s="492">
        <f>+CY133</f>
        <v>6236.6528409090861</v>
      </c>
      <c r="CZ134" s="476">
        <f>+CZ133</f>
        <v>733.72386363636497</v>
      </c>
      <c r="DA134" s="476">
        <f t="shared" si="169"/>
        <v>5502.9289772727207</v>
      </c>
      <c r="DB134" s="493">
        <f>+CY$29*DA134+CZ134</f>
        <v>1353.0745016240985</v>
      </c>
      <c r="DC134" s="492">
        <f>+DC133</f>
        <v>367378.05000000191</v>
      </c>
      <c r="DD134" s="476">
        <f>+DD133</f>
        <v>44530.672727272722</v>
      </c>
      <c r="DE134" s="476">
        <f t="shared" si="170"/>
        <v>322847.37727272918</v>
      </c>
      <c r="DF134" s="493">
        <f>+DC$29*DE134+DD134</f>
        <v>80866.909286449678</v>
      </c>
      <c r="DG134" s="492">
        <f>+DG133</f>
        <v>209435.53170454461</v>
      </c>
      <c r="DH134" s="476">
        <f>+DH133</f>
        <v>24639.474318181816</v>
      </c>
      <c r="DI134" s="476">
        <f t="shared" si="171"/>
        <v>184796.05738636281</v>
      </c>
      <c r="DJ134" s="493">
        <f>+DG$29*DI134+DH134</f>
        <v>45438.135633375699</v>
      </c>
      <c r="DK134" s="492">
        <f>+DK133</f>
        <v>4488880.2723863721</v>
      </c>
      <c r="DL134" s="476">
        <f>+DL133</f>
        <v>549658.80886363634</v>
      </c>
      <c r="DM134" s="476">
        <f t="shared" si="172"/>
        <v>3939221.463522736</v>
      </c>
      <c r="DN134" s="493">
        <f>+DK$29*DM134+DL134</f>
        <v>993015.30804508436</v>
      </c>
      <c r="DO134" s="492">
        <f>+DO133</f>
        <v>179599.78541666642</v>
      </c>
      <c r="DP134" s="476">
        <f>+DP133</f>
        <v>19592.703863636354</v>
      </c>
      <c r="DQ134" s="476">
        <f t="shared" si="148"/>
        <v>160007.08155303006</v>
      </c>
      <c r="DR134" s="493">
        <f>+DO$29*DQ134+DP134</f>
        <v>37601.384050444642</v>
      </c>
      <c r="DS134" s="492">
        <f>+DS133</f>
        <v>78809.650909090837</v>
      </c>
      <c r="DT134" s="476">
        <f>+DT133</f>
        <v>8295.7527272726966</v>
      </c>
      <c r="DU134" s="476">
        <f t="shared" si="173"/>
        <v>70513.898181818135</v>
      </c>
      <c r="DV134" s="493">
        <f>+DS$29*DU134+DT134</f>
        <v>16232.040476266253</v>
      </c>
      <c r="DW134" s="492">
        <f>+DW133</f>
        <v>11301.311534090863</v>
      </c>
      <c r="DX134" s="476">
        <f>+DX133</f>
        <v>1221.7634090909089</v>
      </c>
      <c r="DY134" s="476">
        <f t="shared" si="174"/>
        <v>10079.548124999954</v>
      </c>
      <c r="DZ134" s="493">
        <f>+DW$29*DY134+DX134</f>
        <v>2356.2091901703398</v>
      </c>
      <c r="EA134" s="492">
        <f>+EA133</f>
        <v>-70609.657443182368</v>
      </c>
      <c r="EB134" s="476">
        <f>+EB133</f>
        <v>-7120.3015909091364</v>
      </c>
      <c r="EC134" s="476">
        <f t="shared" si="175"/>
        <v>-63489.355852273235</v>
      </c>
      <c r="ED134" s="493">
        <f>+EA$29*EC134+EB134</f>
        <v>-14265.982230244579</v>
      </c>
      <c r="EE134" s="576">
        <f>+EE133</f>
        <v>2197656.2940909178</v>
      </c>
      <c r="EF134" s="580">
        <f>+EF133</f>
        <v>192495.44181818186</v>
      </c>
      <c r="EG134" s="580">
        <f t="shared" si="176"/>
        <v>2005160.8522727359</v>
      </c>
      <c r="EH134" s="493">
        <f>+EE$29*EG134+EF134</f>
        <v>418174.83151269268</v>
      </c>
      <c r="EI134" s="576">
        <f>+EI133</f>
        <v>91071.718825757416</v>
      </c>
      <c r="EJ134" s="580">
        <f>+EJ133</f>
        <v>7696.2015909090906</v>
      </c>
      <c r="EK134" s="580">
        <f t="shared" si="177"/>
        <v>83375.517234848332</v>
      </c>
      <c r="EL134" s="493">
        <f>+EI$29*EK134+EJ134</f>
        <v>17080.055172379984</v>
      </c>
      <c r="EM134" s="576">
        <f>+EM133</f>
        <v>3135317.5063636322</v>
      </c>
      <c r="EN134" s="580">
        <f>+EN133</f>
        <v>261276.45886363636</v>
      </c>
      <c r="EO134" s="580">
        <f t="shared" si="178"/>
        <v>2874041.0474999957</v>
      </c>
      <c r="EP134" s="493">
        <f>+EM$29*EO134+EN134</f>
        <v>584747.68004851392</v>
      </c>
      <c r="EQ134" s="576">
        <f>+EQ133</f>
        <v>6257250.0738636218</v>
      </c>
      <c r="ER134" s="580">
        <f>+ER133</f>
        <v>500580.00590909086</v>
      </c>
      <c r="ES134" s="580">
        <f t="shared" si="179"/>
        <v>5756670.0679545309</v>
      </c>
      <c r="ET134" s="493">
        <f>+EQ$29*ES134+ER134</f>
        <v>1148489.018363683</v>
      </c>
      <c r="EU134" s="576">
        <f>+EU133</f>
        <v>8085195.9431818128</v>
      </c>
      <c r="EV134" s="580">
        <f>+EV133</f>
        <v>646815.67545454553</v>
      </c>
      <c r="EW134" s="580">
        <f t="shared" si="195"/>
        <v>7438380.267727267</v>
      </c>
      <c r="EX134" s="493">
        <f>+EU$29*EW134+EV134</f>
        <v>1483999.9428581721</v>
      </c>
      <c r="EY134" s="582">
        <f t="shared" ref="EY134:EY158" si="196">+R134+J134+F134+N134+V134+Z134+AD134+AH134+AL134+AP134+AT134+BV134+BZ134+CD134+CH134+CL134+CP134+CT134+CX134+DB134+DF134+DJ134+DN134+DR134+DV134+DZ134+ED134+EH134+EL134+EP134+ET134+EX134</f>
        <v>13715650.927282995</v>
      </c>
      <c r="EZ134" s="579">
        <f>+EY134</f>
        <v>13715650.927282995</v>
      </c>
      <c r="FA134" s="553"/>
      <c r="FD134" s="492"/>
      <c r="FE134" s="476"/>
      <c r="FF134" s="476"/>
      <c r="FG134" s="493"/>
      <c r="FH134" s="492"/>
      <c r="FI134" s="476"/>
      <c r="FJ134" s="476"/>
      <c r="FK134" s="493"/>
      <c r="FL134" s="492"/>
      <c r="FM134" s="476"/>
      <c r="FN134" s="476"/>
      <c r="FO134" s="493"/>
      <c r="FP134" s="492"/>
      <c r="FQ134" s="476"/>
      <c r="FR134" s="476"/>
      <c r="FS134" s="493"/>
      <c r="FT134" s="492"/>
      <c r="FU134" s="476"/>
      <c r="FV134" s="476"/>
      <c r="FW134" s="493"/>
      <c r="FX134" s="492"/>
      <c r="FY134" s="476"/>
      <c r="FZ134" s="476"/>
      <c r="GA134" s="493"/>
      <c r="GB134" s="492"/>
      <c r="GC134" s="476"/>
      <c r="GD134" s="476"/>
      <c r="GE134" s="493"/>
      <c r="GF134" s="492"/>
      <c r="GG134" s="476"/>
      <c r="GH134" s="476"/>
      <c r="GI134" s="493"/>
      <c r="GJ134" s="492"/>
      <c r="GK134" s="476"/>
      <c r="GL134" s="476"/>
      <c r="GM134" s="493"/>
      <c r="GN134" s="492"/>
      <c r="GO134" s="476"/>
      <c r="GP134" s="476"/>
      <c r="GQ134" s="493"/>
      <c r="GR134" s="492"/>
      <c r="GS134" s="476"/>
      <c r="GT134" s="476"/>
      <c r="GU134" s="493"/>
      <c r="GV134" s="492"/>
      <c r="GW134" s="476"/>
      <c r="GX134" s="476"/>
      <c r="GY134" s="493"/>
      <c r="GZ134" s="492"/>
      <c r="HA134" s="476"/>
      <c r="HB134" s="476"/>
      <c r="HC134" s="493"/>
      <c r="HD134" s="576"/>
      <c r="HE134" s="580"/>
      <c r="HF134" s="580"/>
      <c r="HG134" s="918"/>
      <c r="HH134" s="919"/>
      <c r="HI134" s="925"/>
      <c r="HJ134" s="925"/>
      <c r="HK134" s="918"/>
      <c r="HL134" s="919"/>
      <c r="HM134" s="925"/>
      <c r="HN134" s="925"/>
      <c r="HO134" s="918"/>
      <c r="HP134" s="919"/>
      <c r="HQ134" s="925"/>
      <c r="HR134" s="925"/>
      <c r="HS134" s="918"/>
      <c r="HT134" s="919"/>
      <c r="HU134" s="925"/>
      <c r="HV134" s="925"/>
      <c r="HW134" s="918"/>
      <c r="HY134" s="492"/>
      <c r="HZ134" s="476"/>
      <c r="IA134" s="476"/>
      <c r="IB134" s="493"/>
      <c r="IC134" s="492"/>
      <c r="ID134" s="476"/>
      <c r="IE134" s="476"/>
      <c r="IF134" s="493"/>
      <c r="IG134" s="492"/>
      <c r="IH134" s="476"/>
      <c r="II134" s="476"/>
      <c r="IJ134" s="493"/>
    </row>
    <row r="135" spans="1:244">
      <c r="A135" s="554" t="s">
        <v>24</v>
      </c>
      <c r="B135" s="574">
        <v>2054</v>
      </c>
      <c r="C135" s="575"/>
      <c r="D135" s="575"/>
      <c r="E135" s="575"/>
      <c r="F135" s="558"/>
      <c r="G135" s="575"/>
      <c r="H135" s="575"/>
      <c r="I135" s="575"/>
      <c r="J135" s="558"/>
      <c r="K135" s="563"/>
      <c r="L135" s="563"/>
      <c r="M135" s="563"/>
      <c r="N135" s="558"/>
      <c r="O135" s="575"/>
      <c r="P135" s="575"/>
      <c r="Q135" s="575"/>
      <c r="R135" s="558"/>
      <c r="S135" s="476"/>
      <c r="T135" s="476"/>
      <c r="U135" s="476"/>
      <c r="V135" s="493"/>
      <c r="W135" s="476"/>
      <c r="X135" s="575"/>
      <c r="Y135" s="476"/>
      <c r="Z135" s="493"/>
      <c r="AA135" s="476"/>
      <c r="AB135" s="476"/>
      <c r="AC135" s="476"/>
      <c r="AD135" s="493"/>
      <c r="AE135" s="476"/>
      <c r="AF135" s="476"/>
      <c r="AG135" s="476"/>
      <c r="AH135" s="493"/>
      <c r="AI135" s="492">
        <f>+AK134</f>
        <v>246289.52651515632</v>
      </c>
      <c r="AJ135" s="476">
        <f>+AI$31/12*AI32</f>
        <v>246289.52651515152</v>
      </c>
      <c r="AK135" s="476">
        <f t="shared" ref="AK135:AK136" si="197">+AI135-AJ135</f>
        <v>4.8021320253610611E-9</v>
      </c>
      <c r="AL135" s="493">
        <f>+AI$28*AK135+AJ135</f>
        <v>246289.52651515207</v>
      </c>
      <c r="AM135" s="492">
        <f>+AO134</f>
        <v>55433.457840909541</v>
      </c>
      <c r="AN135" s="476">
        <f>+AM$31/12*AM32</f>
        <v>55433.45784090909</v>
      </c>
      <c r="AO135" s="476">
        <f t="shared" ref="AO135:AO136" si="198">+AM135-AN135</f>
        <v>4.5110937207937241E-10</v>
      </c>
      <c r="AP135" s="493">
        <f>+AM$28*AO135+AN135</f>
        <v>55433.457840909141</v>
      </c>
      <c r="AQ135" s="492">
        <f>+AS134</f>
        <v>678699.17795454629</v>
      </c>
      <c r="AR135" s="476">
        <f>+AQ$31/12*9</f>
        <v>678699.17795454536</v>
      </c>
      <c r="AS135" s="476">
        <f t="shared" ref="AS135:AS136" si="199">+AQ135-AR135</f>
        <v>9.3132257461547852E-10</v>
      </c>
      <c r="AT135" s="493">
        <f>+AQ$28*AS135+AR135</f>
        <v>678699.17795454548</v>
      </c>
      <c r="AU135" s="575"/>
      <c r="AV135" s="575"/>
      <c r="AW135" s="575"/>
      <c r="AX135" s="558"/>
      <c r="AY135" s="575"/>
      <c r="AZ135" s="575"/>
      <c r="BA135" s="575"/>
      <c r="BB135" s="558"/>
      <c r="BC135" s="575"/>
      <c r="BD135" s="575"/>
      <c r="BE135" s="575"/>
      <c r="BF135" s="558"/>
      <c r="BG135" s="575"/>
      <c r="BH135" s="575"/>
      <c r="BI135" s="575"/>
      <c r="BJ135" s="558"/>
      <c r="BK135" s="575"/>
      <c r="BL135" s="575"/>
      <c r="BM135" s="575"/>
      <c r="BN135" s="558"/>
      <c r="BO135" s="575"/>
      <c r="BP135" s="575"/>
      <c r="BQ135" s="575"/>
      <c r="BR135" s="558"/>
      <c r="BS135" s="492">
        <f>+BU134</f>
        <v>8310.8863636366113</v>
      </c>
      <c r="BT135" s="476">
        <f>+BS$31</f>
        <v>8310.886363636364</v>
      </c>
      <c r="BU135" s="476">
        <f t="shared" ref="BU135:BU136" si="200">+BS135-BT135</f>
        <v>2.4738255888223648E-10</v>
      </c>
      <c r="BV135" s="493">
        <f>+BS$28*BU135+BT135</f>
        <v>8310.8863636363913</v>
      </c>
      <c r="BW135" s="492">
        <f>+BY134</f>
        <v>865261.84090910736</v>
      </c>
      <c r="BX135" s="476">
        <f>+BW$31</f>
        <v>576841.22727272729</v>
      </c>
      <c r="BY135" s="476">
        <f t="shared" ref="BY135:BY136" si="201">+BW135-BX135</f>
        <v>288420.61363638006</v>
      </c>
      <c r="BZ135" s="493">
        <f>+BW$28*BY135+BX135</f>
        <v>609302.75672409183</v>
      </c>
      <c r="CA135" s="492">
        <f>+CC134</f>
        <v>86187.040000001711</v>
      </c>
      <c r="CB135" s="476">
        <f>+CA$31</f>
        <v>54433.919999999998</v>
      </c>
      <c r="CC135" s="476">
        <f t="shared" ref="CC135:CC136" si="202">+CA135-CB135</f>
        <v>31753.120000001712</v>
      </c>
      <c r="CD135" s="493">
        <f>+CA$28*CC135+CB135</f>
        <v>58007.710468916579</v>
      </c>
      <c r="CE135" s="492">
        <f>+CG134</f>
        <v>5906.2863636365728</v>
      </c>
      <c r="CF135" s="476">
        <f>+CE$31</f>
        <v>4725.0290909090909</v>
      </c>
      <c r="CG135" s="476">
        <f t="shared" ref="CG135:CG136" si="203">+CE135-CF135</f>
        <v>1181.2572727274819</v>
      </c>
      <c r="CH135" s="493">
        <f>+CE$28*CG135+CF135</f>
        <v>4857.9787343649668</v>
      </c>
      <c r="CI135" s="492">
        <f>+CK134</f>
        <v>26785.909090908797</v>
      </c>
      <c r="CJ135" s="476">
        <f>+CI$31</f>
        <v>12362.727272727272</v>
      </c>
      <c r="CK135" s="476">
        <f t="shared" ref="CK135:CK136" si="204">+CI135-CJ135</f>
        <v>14423.181818181525</v>
      </c>
      <c r="CL135" s="493">
        <f>+CI$28*CK135+CJ135</f>
        <v>13986.045854122274</v>
      </c>
      <c r="CM135" s="492">
        <f>+CO134</f>
        <v>3264918.6298295585</v>
      </c>
      <c r="CN135" s="476">
        <f>+CM$31</f>
        <v>483691.64886363636</v>
      </c>
      <c r="CO135" s="476">
        <f t="shared" ref="CO135:CO136" si="205">+CM135-CN135</f>
        <v>2781226.9809659221</v>
      </c>
      <c r="CP135" s="493">
        <f>+CM$28*CO135+CN135</f>
        <v>796716.71463572793</v>
      </c>
      <c r="CQ135" s="492">
        <f>+CS134</f>
        <v>13619717.759147733</v>
      </c>
      <c r="CR135" s="476">
        <f>+CQ$31</f>
        <v>2017735.9643181816</v>
      </c>
      <c r="CS135" s="476">
        <f t="shared" ref="CS135:CS136" si="206">+CQ135-CR135</f>
        <v>11601981.794829551</v>
      </c>
      <c r="CT135" s="493">
        <f>+CQ$28*CS135+CR135</f>
        <v>3323530.5432100603</v>
      </c>
      <c r="CU135" s="492">
        <f>+CW134</f>
        <v>4733367.6075000167</v>
      </c>
      <c r="CV135" s="476">
        <f>+CU$31</f>
        <v>676195.37250000006</v>
      </c>
      <c r="CW135" s="476">
        <f t="shared" ref="CW135:CW136" si="207">+CU135-CV135</f>
        <v>4057172.2350000166</v>
      </c>
      <c r="CX135" s="493">
        <f>+CU$28*CW135+CV135</f>
        <v>1132827.1448800138</v>
      </c>
      <c r="CY135" s="492">
        <f>+DA134</f>
        <v>5502.9289772727207</v>
      </c>
      <c r="CZ135" s="476">
        <f>+CY$31</f>
        <v>733.72386363636497</v>
      </c>
      <c r="DA135" s="476">
        <f t="shared" si="169"/>
        <v>4769.2051136363552</v>
      </c>
      <c r="DB135" s="493">
        <f>+CY$28*DA135+CZ135</f>
        <v>1270.4944165590668</v>
      </c>
      <c r="DC135" s="492">
        <f>+DE134</f>
        <v>322847.37727272918</v>
      </c>
      <c r="DD135" s="476">
        <f>+DC$31</f>
        <v>44530.672727272722</v>
      </c>
      <c r="DE135" s="476">
        <f t="shared" si="170"/>
        <v>278316.70454545645</v>
      </c>
      <c r="DF135" s="493">
        <f>+DC$28*DE135+DD135</f>
        <v>75855.014588632199</v>
      </c>
      <c r="DG135" s="492">
        <f>+DI134</f>
        <v>184796.05738636281</v>
      </c>
      <c r="DH135" s="476">
        <f>+DG$31</f>
        <v>24639.474318181816</v>
      </c>
      <c r="DI135" s="476">
        <f t="shared" si="171"/>
        <v>160156.583068181</v>
      </c>
      <c r="DJ135" s="493">
        <f>+DG$28*DI135+DH135</f>
        <v>42664.980791349837</v>
      </c>
      <c r="DK135" s="492">
        <f>+DM134</f>
        <v>3939221.463522736</v>
      </c>
      <c r="DL135" s="476">
        <f>+DK$31</f>
        <v>549658.80886363634</v>
      </c>
      <c r="DM135" s="476">
        <f t="shared" si="172"/>
        <v>3389562.6546590999</v>
      </c>
      <c r="DN135" s="493">
        <f>+DK$28*DM135+DL135</f>
        <v>931151.61048488249</v>
      </c>
      <c r="DO135" s="492">
        <f>+DQ134</f>
        <v>160007.08155303006</v>
      </c>
      <c r="DP135" s="476">
        <f>+DO$31</f>
        <v>19592.703863636354</v>
      </c>
      <c r="DQ135" s="476">
        <f t="shared" si="148"/>
        <v>140414.3776893937</v>
      </c>
      <c r="DR135" s="493">
        <f>+DO$28*DQ135+DP135</f>
        <v>35396.239537774236</v>
      </c>
      <c r="DS135" s="492">
        <f>+DU134</f>
        <v>70513.898181818135</v>
      </c>
      <c r="DT135" s="476">
        <f>+DS$31</f>
        <v>8295.7527272726966</v>
      </c>
      <c r="DU135" s="476">
        <f t="shared" si="173"/>
        <v>62218.14545454544</v>
      </c>
      <c r="DV135" s="493">
        <f>+DS$28*DU135+DT135</f>
        <v>15298.359564619956</v>
      </c>
      <c r="DW135" s="492">
        <f>+DY134</f>
        <v>10079.548124999954</v>
      </c>
      <c r="DX135" s="476">
        <f>+DW$31</f>
        <v>1221.7634090909089</v>
      </c>
      <c r="DY135" s="476">
        <f t="shared" si="174"/>
        <v>8857.7847159090452</v>
      </c>
      <c r="DZ135" s="493">
        <f>+DW$28*DY135+DX135</f>
        <v>2218.7006106455592</v>
      </c>
      <c r="EA135" s="492">
        <f>+EC134</f>
        <v>-63489.355852273235</v>
      </c>
      <c r="EB135" s="476">
        <f>+EA$31</f>
        <v>-7120.3015909091364</v>
      </c>
      <c r="EC135" s="476">
        <f t="shared" si="175"/>
        <v>-56369.054261364101</v>
      </c>
      <c r="ED135" s="493">
        <f>+EA$28*EC135+EB135</f>
        <v>-13464.597485646213</v>
      </c>
      <c r="EE135" s="576">
        <f>+EG134</f>
        <v>2005160.8522727359</v>
      </c>
      <c r="EF135" s="580">
        <f>+EE$31</f>
        <v>192495.44181818186</v>
      </c>
      <c r="EG135" s="580">
        <f t="shared" si="176"/>
        <v>1812665.410454554</v>
      </c>
      <c r="EH135" s="493">
        <f>+EE$28*EG135+EF135</f>
        <v>396509.61010201974</v>
      </c>
      <c r="EI135" s="576">
        <f>+EK134</f>
        <v>83375.517234848332</v>
      </c>
      <c r="EJ135" s="580">
        <f>+EI$31</f>
        <v>7696.2015909090906</v>
      </c>
      <c r="EK135" s="580">
        <f t="shared" si="177"/>
        <v>75679.315643939248</v>
      </c>
      <c r="EL135" s="493">
        <f>+EI$28*EK135+EJ135</f>
        <v>16213.853303321132</v>
      </c>
      <c r="EM135" s="576">
        <f>+EO134</f>
        <v>2874041.0474999957</v>
      </c>
      <c r="EN135" s="580">
        <f>+EM$31</f>
        <v>261276.45886363636</v>
      </c>
      <c r="EO135" s="580">
        <f t="shared" si="178"/>
        <v>2612764.5886363592</v>
      </c>
      <c r="EP135" s="493">
        <f>+EM$28*EO135+EN135</f>
        <v>555341.20539534313</v>
      </c>
      <c r="EQ135" s="576">
        <f>+ES134</f>
        <v>5756670.0679545309</v>
      </c>
      <c r="ER135" s="580">
        <f>+EQ$31</f>
        <v>500580.00590909086</v>
      </c>
      <c r="ES135" s="580">
        <f t="shared" si="179"/>
        <v>5256090.0620454401</v>
      </c>
      <c r="ET135" s="493">
        <f>+EQ$28*ES135+ER135</f>
        <v>1092149.1042371965</v>
      </c>
      <c r="EU135" s="576">
        <f>+EW134</f>
        <v>7438380.267727267</v>
      </c>
      <c r="EV135" s="580">
        <f>+EU$31</f>
        <v>646815.67545454553</v>
      </c>
      <c r="EW135" s="580">
        <f t="shared" si="195"/>
        <v>6791564.5922727212</v>
      </c>
      <c r="EX135" s="493">
        <f>+EU$28*EW135+EV135</f>
        <v>1411201.3109100305</v>
      </c>
      <c r="EY135" s="582">
        <f t="shared" si="196"/>
        <v>11489767.829638269</v>
      </c>
      <c r="EZ135" s="557"/>
      <c r="FA135" s="578">
        <f>+EY135</f>
        <v>11489767.829638269</v>
      </c>
      <c r="FD135" s="492"/>
      <c r="FE135" s="476"/>
      <c r="FF135" s="476"/>
      <c r="FG135" s="493"/>
      <c r="FH135" s="492"/>
      <c r="FI135" s="476"/>
      <c r="FJ135" s="476"/>
      <c r="FK135" s="493"/>
      <c r="FL135" s="492"/>
      <c r="FM135" s="476"/>
      <c r="FN135" s="476"/>
      <c r="FO135" s="493"/>
      <c r="FP135" s="492"/>
      <c r="FQ135" s="476"/>
      <c r="FR135" s="476"/>
      <c r="FS135" s="493"/>
      <c r="FT135" s="492"/>
      <c r="FU135" s="476"/>
      <c r="FV135" s="476"/>
      <c r="FW135" s="493"/>
      <c r="FX135" s="492"/>
      <c r="FY135" s="476"/>
      <c r="FZ135" s="476"/>
      <c r="GA135" s="493"/>
      <c r="GB135" s="492"/>
      <c r="GC135" s="476"/>
      <c r="GD135" s="476"/>
      <c r="GE135" s="493"/>
      <c r="GF135" s="492"/>
      <c r="GG135" s="476"/>
      <c r="GH135" s="476"/>
      <c r="GI135" s="493"/>
      <c r="GJ135" s="492"/>
      <c r="GK135" s="476"/>
      <c r="GL135" s="476"/>
      <c r="GM135" s="493"/>
      <c r="GN135" s="492"/>
      <c r="GO135" s="476"/>
      <c r="GP135" s="476"/>
      <c r="GQ135" s="493"/>
      <c r="GR135" s="492"/>
      <c r="GS135" s="476"/>
      <c r="GT135" s="476"/>
      <c r="GU135" s="493"/>
      <c r="GV135" s="492"/>
      <c r="GW135" s="476"/>
      <c r="GX135" s="476"/>
      <c r="GY135" s="493"/>
      <c r="GZ135" s="492"/>
      <c r="HA135" s="476"/>
      <c r="HB135" s="476"/>
      <c r="HC135" s="493"/>
      <c r="HD135" s="576"/>
      <c r="HE135" s="580"/>
      <c r="HF135" s="580"/>
      <c r="HG135" s="918"/>
      <c r="HH135" s="919"/>
      <c r="HI135" s="925"/>
      <c r="HJ135" s="925"/>
      <c r="HK135" s="918"/>
      <c r="HL135" s="919"/>
      <c r="HM135" s="925"/>
      <c r="HN135" s="925"/>
      <c r="HO135" s="918"/>
      <c r="HP135" s="919"/>
      <c r="HQ135" s="925"/>
      <c r="HR135" s="925"/>
      <c r="HS135" s="918"/>
      <c r="HT135" s="919"/>
      <c r="HU135" s="925"/>
      <c r="HV135" s="925"/>
      <c r="HW135" s="918"/>
      <c r="HY135" s="492"/>
      <c r="HZ135" s="476"/>
      <c r="IA135" s="476"/>
      <c r="IB135" s="493"/>
      <c r="IC135" s="492"/>
      <c r="ID135" s="476"/>
      <c r="IE135" s="476"/>
      <c r="IF135" s="493"/>
      <c r="IG135" s="492"/>
      <c r="IH135" s="476"/>
      <c r="II135" s="476"/>
      <c r="IJ135" s="493"/>
    </row>
    <row r="136" spans="1:244">
      <c r="A136" s="554" t="s">
        <v>23</v>
      </c>
      <c r="B136" s="574">
        <v>2054</v>
      </c>
      <c r="C136" s="575"/>
      <c r="D136" s="575"/>
      <c r="E136" s="575"/>
      <c r="F136" s="558"/>
      <c r="G136" s="575"/>
      <c r="H136" s="575"/>
      <c r="I136" s="575"/>
      <c r="J136" s="558"/>
      <c r="K136" s="563"/>
      <c r="L136" s="563"/>
      <c r="M136" s="563"/>
      <c r="N136" s="558"/>
      <c r="O136" s="575"/>
      <c r="P136" s="575"/>
      <c r="Q136" s="575"/>
      <c r="R136" s="558"/>
      <c r="S136" s="476"/>
      <c r="T136" s="476"/>
      <c r="U136" s="476"/>
      <c r="V136" s="493"/>
      <c r="W136" s="476"/>
      <c r="X136" s="575"/>
      <c r="Y136" s="476"/>
      <c r="Z136" s="493"/>
      <c r="AA136" s="507"/>
      <c r="AB136" s="507"/>
      <c r="AC136" s="507"/>
      <c r="AD136" s="507"/>
      <c r="AE136" s="476"/>
      <c r="AF136" s="476"/>
      <c r="AG136" s="476"/>
      <c r="AH136" s="493"/>
      <c r="AI136" s="492">
        <f>+AI135</f>
        <v>246289.52651515632</v>
      </c>
      <c r="AJ136" s="476">
        <f>+AJ135</f>
        <v>246289.52651515152</v>
      </c>
      <c r="AK136" s="476">
        <f t="shared" si="197"/>
        <v>4.8021320253610611E-9</v>
      </c>
      <c r="AL136" s="493">
        <f>+AI$29*AK136+AJ136</f>
        <v>246289.5265151521</v>
      </c>
      <c r="AM136" s="492">
        <f>+AM135</f>
        <v>55433.457840909541</v>
      </c>
      <c r="AN136" s="476">
        <f>+AN135</f>
        <v>55433.45784090909</v>
      </c>
      <c r="AO136" s="476">
        <f t="shared" si="198"/>
        <v>4.5110937207937241E-10</v>
      </c>
      <c r="AP136" s="493">
        <f>+AM$29*AO136+AN136</f>
        <v>55433.457840909141</v>
      </c>
      <c r="AQ136" s="492">
        <f>+AQ135</f>
        <v>678699.17795454629</v>
      </c>
      <c r="AR136" s="476">
        <f>+AR135</f>
        <v>678699.17795454536</v>
      </c>
      <c r="AS136" s="476">
        <f t="shared" si="199"/>
        <v>9.3132257461547852E-10</v>
      </c>
      <c r="AT136" s="493">
        <f>+AQ$29*AS136+AR136</f>
        <v>678699.17795454548</v>
      </c>
      <c r="AU136" s="575"/>
      <c r="AV136" s="575"/>
      <c r="AW136" s="575"/>
      <c r="AX136" s="558"/>
      <c r="AY136" s="575"/>
      <c r="AZ136" s="575"/>
      <c r="BA136" s="575"/>
      <c r="BB136" s="558"/>
      <c r="BC136" s="575"/>
      <c r="BD136" s="575"/>
      <c r="BE136" s="575"/>
      <c r="BF136" s="558"/>
      <c r="BG136" s="575"/>
      <c r="BH136" s="575"/>
      <c r="BI136" s="575"/>
      <c r="BJ136" s="558"/>
      <c r="BK136" s="575"/>
      <c r="BL136" s="575"/>
      <c r="BM136" s="575"/>
      <c r="BN136" s="558"/>
      <c r="BO136" s="575"/>
      <c r="BP136" s="575"/>
      <c r="BQ136" s="575"/>
      <c r="BR136" s="558"/>
      <c r="BS136" s="492">
        <f>+BS135</f>
        <v>8310.8863636366113</v>
      </c>
      <c r="BT136" s="476">
        <f>+BT135</f>
        <v>8310.886363636364</v>
      </c>
      <c r="BU136" s="476">
        <f t="shared" si="200"/>
        <v>2.4738255888223648E-10</v>
      </c>
      <c r="BV136" s="493">
        <f>+BS$29*BU136+BT136</f>
        <v>8310.8863636363931</v>
      </c>
      <c r="BW136" s="492">
        <f>+BW135</f>
        <v>865261.84090910736</v>
      </c>
      <c r="BX136" s="476">
        <f>+BX135</f>
        <v>576841.22727272729</v>
      </c>
      <c r="BY136" s="476">
        <f t="shared" si="201"/>
        <v>288420.61363638006</v>
      </c>
      <c r="BZ136" s="493">
        <f>+BW$29*BY136+BX136</f>
        <v>609302.75672409183</v>
      </c>
      <c r="CA136" s="492">
        <f>+CA135</f>
        <v>86187.040000001711</v>
      </c>
      <c r="CB136" s="476">
        <f>+CB135</f>
        <v>54433.919999999998</v>
      </c>
      <c r="CC136" s="476">
        <f t="shared" si="202"/>
        <v>31753.120000001712</v>
      </c>
      <c r="CD136" s="493">
        <f>+CA$29*CC136+CB136</f>
        <v>58214.685744640272</v>
      </c>
      <c r="CE136" s="492">
        <f>+CE135</f>
        <v>5906.2863636365728</v>
      </c>
      <c r="CF136" s="476">
        <f>+CF135</f>
        <v>4725.0290909090909</v>
      </c>
      <c r="CG136" s="476">
        <f t="shared" si="203"/>
        <v>1181.2572727274819</v>
      </c>
      <c r="CH136" s="493">
        <f>+CE$29*CG136+CF136</f>
        <v>4865.678483231326</v>
      </c>
      <c r="CI136" s="492">
        <f>+CI135</f>
        <v>26785.909090908797</v>
      </c>
      <c r="CJ136" s="476">
        <f>+CJ135</f>
        <v>12362.727272727272</v>
      </c>
      <c r="CK136" s="476">
        <f t="shared" si="204"/>
        <v>14423.181818181525</v>
      </c>
      <c r="CL136" s="493">
        <f>+CI$29*CK136+CJ136</f>
        <v>13986.045854122274</v>
      </c>
      <c r="CM136" s="492">
        <f>+CM135</f>
        <v>3264918.6298295585</v>
      </c>
      <c r="CN136" s="476">
        <f>+CN135</f>
        <v>483691.64886363636</v>
      </c>
      <c r="CO136" s="476">
        <f t="shared" si="205"/>
        <v>2781226.9809659221</v>
      </c>
      <c r="CP136" s="493">
        <f>+CM$29*CO136+CN136</f>
        <v>796716.71463572793</v>
      </c>
      <c r="CQ136" s="492">
        <f>+CQ135</f>
        <v>13619717.759147733</v>
      </c>
      <c r="CR136" s="476">
        <f>+CR135</f>
        <v>2017735.9643181816</v>
      </c>
      <c r="CS136" s="476">
        <f t="shared" si="206"/>
        <v>11601981.794829551</v>
      </c>
      <c r="CT136" s="493">
        <f>+CQ$29*CS136+CR136</f>
        <v>3323530.5432100603</v>
      </c>
      <c r="CU136" s="492">
        <f>+CU135</f>
        <v>4733367.6075000167</v>
      </c>
      <c r="CV136" s="476">
        <f>+CV135</f>
        <v>676195.37250000006</v>
      </c>
      <c r="CW136" s="476">
        <f t="shared" si="207"/>
        <v>4057172.2350000166</v>
      </c>
      <c r="CX136" s="493">
        <f>+CU$29*CW136+CV136</f>
        <v>1132827.1448800138</v>
      </c>
      <c r="CY136" s="492">
        <f>+CY135</f>
        <v>5502.9289772727207</v>
      </c>
      <c r="CZ136" s="476">
        <f>+CZ135</f>
        <v>733.72386363636497</v>
      </c>
      <c r="DA136" s="476">
        <f t="shared" si="169"/>
        <v>4769.2051136363552</v>
      </c>
      <c r="DB136" s="493">
        <f>+CY$29*DA136+CZ136</f>
        <v>1270.4944165590668</v>
      </c>
      <c r="DC136" s="492">
        <f>+DC135</f>
        <v>322847.37727272918</v>
      </c>
      <c r="DD136" s="476">
        <f>+DD135</f>
        <v>44530.672727272722</v>
      </c>
      <c r="DE136" s="476">
        <f t="shared" si="170"/>
        <v>278316.70454545645</v>
      </c>
      <c r="DF136" s="493">
        <f>+DC$29*DE136+DD136</f>
        <v>75855.014588632199</v>
      </c>
      <c r="DG136" s="492">
        <f>+DG135</f>
        <v>184796.05738636281</v>
      </c>
      <c r="DH136" s="476">
        <f>+DH135</f>
        <v>24639.474318181816</v>
      </c>
      <c r="DI136" s="476">
        <f t="shared" si="171"/>
        <v>160156.583068181</v>
      </c>
      <c r="DJ136" s="493">
        <f>+DG$29*DI136+DH136</f>
        <v>42664.980791349837</v>
      </c>
      <c r="DK136" s="492">
        <f>+DK135</f>
        <v>3939221.463522736</v>
      </c>
      <c r="DL136" s="476">
        <f>+DL135</f>
        <v>549658.80886363634</v>
      </c>
      <c r="DM136" s="476">
        <f t="shared" si="172"/>
        <v>3389562.6546590999</v>
      </c>
      <c r="DN136" s="493">
        <f>+DK$29*DM136+DL136</f>
        <v>931151.61048488249</v>
      </c>
      <c r="DO136" s="492">
        <f>+DO135</f>
        <v>160007.08155303006</v>
      </c>
      <c r="DP136" s="476">
        <f>+DP135</f>
        <v>19592.703863636354</v>
      </c>
      <c r="DQ136" s="476">
        <f t="shared" si="148"/>
        <v>140414.3776893937</v>
      </c>
      <c r="DR136" s="493">
        <f>+DO$29*DQ136+DP136</f>
        <v>35396.239537774236</v>
      </c>
      <c r="DS136" s="492">
        <f>+DS135</f>
        <v>70513.898181818135</v>
      </c>
      <c r="DT136" s="476">
        <f>+DT135</f>
        <v>8295.7527272726966</v>
      </c>
      <c r="DU136" s="476">
        <f t="shared" si="173"/>
        <v>62218.14545454544</v>
      </c>
      <c r="DV136" s="493">
        <f>+DS$29*DU136+DT136</f>
        <v>15298.359564619956</v>
      </c>
      <c r="DW136" s="492">
        <f>+DW135</f>
        <v>10079.548124999954</v>
      </c>
      <c r="DX136" s="476">
        <f>+DX135</f>
        <v>1221.7634090909089</v>
      </c>
      <c r="DY136" s="476">
        <f t="shared" si="174"/>
        <v>8857.7847159090452</v>
      </c>
      <c r="DZ136" s="493">
        <f>+DW$29*DY136+DX136</f>
        <v>2218.7006106455592</v>
      </c>
      <c r="EA136" s="492">
        <f>+EA135</f>
        <v>-63489.355852273235</v>
      </c>
      <c r="EB136" s="476">
        <f>+EB135</f>
        <v>-7120.3015909091364</v>
      </c>
      <c r="EC136" s="476">
        <f t="shared" si="175"/>
        <v>-56369.054261364101</v>
      </c>
      <c r="ED136" s="493">
        <f>+EA$29*EC136+EB136</f>
        <v>-13464.597485646213</v>
      </c>
      <c r="EE136" s="576">
        <f>+EE135</f>
        <v>2005160.8522727359</v>
      </c>
      <c r="EF136" s="580">
        <f>+EF135</f>
        <v>192495.44181818186</v>
      </c>
      <c r="EG136" s="580">
        <f t="shared" si="176"/>
        <v>1812665.410454554</v>
      </c>
      <c r="EH136" s="493">
        <f>+EE$29*EG136+EF136</f>
        <v>396509.61010201974</v>
      </c>
      <c r="EI136" s="576">
        <f>+EI135</f>
        <v>83375.517234848332</v>
      </c>
      <c r="EJ136" s="580">
        <f>+EJ135</f>
        <v>7696.2015909090906</v>
      </c>
      <c r="EK136" s="580">
        <f t="shared" si="177"/>
        <v>75679.315643939248</v>
      </c>
      <c r="EL136" s="493">
        <f>+EI$29*EK136+EJ136</f>
        <v>16213.853303321132</v>
      </c>
      <c r="EM136" s="576">
        <f>+EM135</f>
        <v>2874041.0474999957</v>
      </c>
      <c r="EN136" s="580">
        <f>+EN135</f>
        <v>261276.45886363636</v>
      </c>
      <c r="EO136" s="580">
        <f t="shared" si="178"/>
        <v>2612764.5886363592</v>
      </c>
      <c r="EP136" s="493">
        <f>+EM$29*EO136+EN136</f>
        <v>555341.20539534313</v>
      </c>
      <c r="EQ136" s="576">
        <f>+EQ135</f>
        <v>5756670.0679545309</v>
      </c>
      <c r="ER136" s="580">
        <f>+ER135</f>
        <v>500580.00590909086</v>
      </c>
      <c r="ES136" s="580">
        <f t="shared" si="179"/>
        <v>5256090.0620454401</v>
      </c>
      <c r="ET136" s="493">
        <f>+EQ$29*ES136+ER136</f>
        <v>1092149.1042371965</v>
      </c>
      <c r="EU136" s="576">
        <f>+EU135</f>
        <v>7438380.267727267</v>
      </c>
      <c r="EV136" s="580">
        <f>+EV135</f>
        <v>646815.67545454553</v>
      </c>
      <c r="EW136" s="580">
        <f t="shared" si="195"/>
        <v>6791564.5922727212</v>
      </c>
      <c r="EX136" s="493">
        <f>+EU$29*EW136+EV136</f>
        <v>1411201.3109100305</v>
      </c>
      <c r="EY136" s="582">
        <f t="shared" si="196"/>
        <v>11489982.504662858</v>
      </c>
      <c r="EZ136" s="579">
        <f>+EY136</f>
        <v>11489982.504662858</v>
      </c>
      <c r="FA136" s="553"/>
      <c r="FD136" s="492"/>
      <c r="FE136" s="476"/>
      <c r="FF136" s="476"/>
      <c r="FG136" s="493"/>
      <c r="FH136" s="492"/>
      <c r="FI136" s="476"/>
      <c r="FJ136" s="476"/>
      <c r="FK136" s="493"/>
      <c r="FL136" s="492"/>
      <c r="FM136" s="476"/>
      <c r="FN136" s="476"/>
      <c r="FO136" s="493"/>
      <c r="FP136" s="492"/>
      <c r="FQ136" s="476"/>
      <c r="FR136" s="476"/>
      <c r="FS136" s="493"/>
      <c r="FT136" s="492"/>
      <c r="FU136" s="476"/>
      <c r="FV136" s="476"/>
      <c r="FW136" s="493"/>
      <c r="FX136" s="492"/>
      <c r="FY136" s="476"/>
      <c r="FZ136" s="476"/>
      <c r="GA136" s="493"/>
      <c r="GB136" s="492"/>
      <c r="GC136" s="476"/>
      <c r="GD136" s="476"/>
      <c r="GE136" s="493"/>
      <c r="GF136" s="492"/>
      <c r="GG136" s="476"/>
      <c r="GH136" s="476"/>
      <c r="GI136" s="493"/>
      <c r="GJ136" s="492"/>
      <c r="GK136" s="476"/>
      <c r="GL136" s="476"/>
      <c r="GM136" s="493"/>
      <c r="GN136" s="492"/>
      <c r="GO136" s="476"/>
      <c r="GP136" s="476"/>
      <c r="GQ136" s="493"/>
      <c r="GR136" s="492"/>
      <c r="GS136" s="476"/>
      <c r="GT136" s="476"/>
      <c r="GU136" s="493"/>
      <c r="GV136" s="492"/>
      <c r="GW136" s="476"/>
      <c r="GX136" s="476"/>
      <c r="GY136" s="493"/>
      <c r="GZ136" s="492"/>
      <c r="HA136" s="476"/>
      <c r="HB136" s="476"/>
      <c r="HC136" s="493"/>
      <c r="HD136" s="576"/>
      <c r="HE136" s="580"/>
      <c r="HF136" s="580"/>
      <c r="HG136" s="918"/>
      <c r="HH136" s="919"/>
      <c r="HI136" s="925"/>
      <c r="HJ136" s="925"/>
      <c r="HK136" s="918"/>
      <c r="HL136" s="919"/>
      <c r="HM136" s="925"/>
      <c r="HN136" s="925"/>
      <c r="HO136" s="918"/>
      <c r="HP136" s="919"/>
      <c r="HQ136" s="925"/>
      <c r="HR136" s="925"/>
      <c r="HS136" s="918"/>
      <c r="HT136" s="919"/>
      <c r="HU136" s="925"/>
      <c r="HV136" s="925"/>
      <c r="HW136" s="918"/>
      <c r="HY136" s="492"/>
      <c r="HZ136" s="476"/>
      <c r="IA136" s="476"/>
      <c r="IB136" s="493"/>
      <c r="IC136" s="492"/>
      <c r="ID136" s="476"/>
      <c r="IE136" s="476"/>
      <c r="IF136" s="493"/>
      <c r="IG136" s="492"/>
      <c r="IH136" s="476"/>
      <c r="II136" s="476"/>
      <c r="IJ136" s="493"/>
    </row>
    <row r="137" spans="1:244">
      <c r="A137" s="554" t="s">
        <v>24</v>
      </c>
      <c r="B137" s="574">
        <v>2055</v>
      </c>
      <c r="C137" s="575"/>
      <c r="D137" s="575"/>
      <c r="E137" s="575"/>
      <c r="F137" s="558"/>
      <c r="G137" s="575"/>
      <c r="H137" s="575"/>
      <c r="I137" s="575"/>
      <c r="J137" s="558"/>
      <c r="K137" s="563"/>
      <c r="L137" s="563"/>
      <c r="M137" s="563"/>
      <c r="N137" s="558"/>
      <c r="O137" s="575"/>
      <c r="P137" s="575"/>
      <c r="Q137" s="575"/>
      <c r="R137" s="558"/>
      <c r="S137" s="476"/>
      <c r="T137" s="476"/>
      <c r="U137" s="476"/>
      <c r="V137" s="493"/>
      <c r="W137" s="476"/>
      <c r="X137" s="476"/>
      <c r="Y137" s="476"/>
      <c r="Z137" s="493"/>
      <c r="AA137" s="507"/>
      <c r="AB137" s="507"/>
      <c r="AC137" s="507"/>
      <c r="AD137" s="507"/>
      <c r="AE137" s="476"/>
      <c r="AF137" s="476"/>
      <c r="AG137" s="476"/>
      <c r="AH137" s="493"/>
      <c r="AI137" s="476"/>
      <c r="AJ137" s="476"/>
      <c r="AK137" s="476"/>
      <c r="AL137" s="493"/>
      <c r="AM137" s="507"/>
      <c r="AN137" s="507"/>
      <c r="AO137" s="507"/>
      <c r="AP137" s="507"/>
      <c r="AQ137" s="476"/>
      <c r="AR137" s="476"/>
      <c r="AS137" s="476"/>
      <c r="AT137" s="493"/>
      <c r="AU137" s="575"/>
      <c r="AV137" s="575"/>
      <c r="AW137" s="575"/>
      <c r="AX137" s="558"/>
      <c r="AY137" s="575"/>
      <c r="AZ137" s="575"/>
      <c r="BA137" s="575"/>
      <c r="BB137" s="558"/>
      <c r="BC137" s="575"/>
      <c r="BD137" s="575"/>
      <c r="BE137" s="575"/>
      <c r="BF137" s="558"/>
      <c r="BG137" s="575"/>
      <c r="BH137" s="575"/>
      <c r="BI137" s="575"/>
      <c r="BJ137" s="558"/>
      <c r="BK137" s="575"/>
      <c r="BL137" s="575"/>
      <c r="BM137" s="575"/>
      <c r="BN137" s="558"/>
      <c r="BO137" s="575"/>
      <c r="BP137" s="575"/>
      <c r="BQ137" s="575"/>
      <c r="BR137" s="558"/>
      <c r="BS137" s="476"/>
      <c r="BT137" s="476"/>
      <c r="BU137" s="476"/>
      <c r="BV137" s="493"/>
      <c r="BW137" s="492">
        <f>+BY136</f>
        <v>288420.61363638006</v>
      </c>
      <c r="BX137" s="476">
        <f>+BW$31/12*6</f>
        <v>288420.61363636365</v>
      </c>
      <c r="BY137" s="476">
        <f t="shared" ref="BY137:BY138" si="208">+BW137-BX137</f>
        <v>1.6414560377597809E-8</v>
      </c>
      <c r="BZ137" s="493">
        <f>+BW$28*BY137+BX137</f>
        <v>288420.61363636551</v>
      </c>
      <c r="CA137" s="492">
        <f>+CC136</f>
        <v>31753.120000001712</v>
      </c>
      <c r="CB137" s="476">
        <f>+CA$31/12*7</f>
        <v>31753.119999999999</v>
      </c>
      <c r="CC137" s="476">
        <f t="shared" ref="CC137:CC138" si="209">+CA137-CB137</f>
        <v>1.7134880181401968E-9</v>
      </c>
      <c r="CD137" s="493">
        <f>+CA$28*CC137+CB137</f>
        <v>31753.120000000192</v>
      </c>
      <c r="CE137" s="492">
        <f>+CG136</f>
        <v>1181.2572727274819</v>
      </c>
      <c r="CF137" s="476">
        <f>+CE$31/12*3</f>
        <v>1181.2572727272727</v>
      </c>
      <c r="CG137" s="476">
        <f t="shared" ref="CG137:CG138" si="210">+CE137-CF137</f>
        <v>2.0918378140777349E-10</v>
      </c>
      <c r="CH137" s="493">
        <f>+CE$28*CG137+CF137</f>
        <v>1181.2572727272964</v>
      </c>
      <c r="CI137" s="492">
        <f>+CK136</f>
        <v>14423.181818181525</v>
      </c>
      <c r="CJ137" s="476">
        <f>+CI$31</f>
        <v>12362.727272727272</v>
      </c>
      <c r="CK137" s="476">
        <f t="shared" ref="CK137:CK138" si="211">+CI137-CJ137</f>
        <v>2060.4545454542531</v>
      </c>
      <c r="CL137" s="493">
        <f>+CI$28*CK137+CJ137</f>
        <v>12594.629927212245</v>
      </c>
      <c r="CM137" s="492">
        <f>+CO136</f>
        <v>2781226.9809659221</v>
      </c>
      <c r="CN137" s="476">
        <f>+CM$31</f>
        <v>483691.64886363636</v>
      </c>
      <c r="CO137" s="476">
        <f t="shared" ref="CO137:CO138" si="212">+CM137-CN137</f>
        <v>2297535.3321022857</v>
      </c>
      <c r="CP137" s="493">
        <f>+CM$28*CO137+CN137</f>
        <v>742277.57276232087</v>
      </c>
      <c r="CQ137" s="492">
        <f>+CS136</f>
        <v>11601981.794829551</v>
      </c>
      <c r="CR137" s="476">
        <f>+CQ$31</f>
        <v>2017735.9643181816</v>
      </c>
      <c r="CS137" s="476">
        <f t="shared" ref="CS137:CS138" si="213">+CQ137-CR137</f>
        <v>9584245.8305113688</v>
      </c>
      <c r="CT137" s="493">
        <f>+CQ$28*CS137+CR137</f>
        <v>3096435.8338375599</v>
      </c>
      <c r="CU137" s="492">
        <f>+CW136</f>
        <v>4057172.2350000166</v>
      </c>
      <c r="CV137" s="476">
        <f>+CU$31</f>
        <v>676195.37250000006</v>
      </c>
      <c r="CW137" s="476">
        <f t="shared" ref="CW137:CW138" si="214">+CU137-CV137</f>
        <v>3380976.8625000166</v>
      </c>
      <c r="CX137" s="493">
        <f>+CU$28*CW137+CV137</f>
        <v>1056721.8494833452</v>
      </c>
      <c r="CY137" s="492">
        <f>+DA136</f>
        <v>4769.2051136363552</v>
      </c>
      <c r="CZ137" s="476">
        <f>+CY$31</f>
        <v>733.72386363636497</v>
      </c>
      <c r="DA137" s="476">
        <f t="shared" si="169"/>
        <v>4035.4812499999903</v>
      </c>
      <c r="DB137" s="493">
        <f>+CY$28*DA137+CZ137</f>
        <v>1187.9143314940357</v>
      </c>
      <c r="DC137" s="492">
        <f>+DE136</f>
        <v>278316.70454545645</v>
      </c>
      <c r="DD137" s="476">
        <f>+DC$31</f>
        <v>44530.672727272722</v>
      </c>
      <c r="DE137" s="476">
        <f t="shared" si="170"/>
        <v>233786.03181818372</v>
      </c>
      <c r="DF137" s="493">
        <f>+DC$28*DE137+DD137</f>
        <v>70843.119890814705</v>
      </c>
      <c r="DG137" s="492">
        <f>+DI136</f>
        <v>160156.583068181</v>
      </c>
      <c r="DH137" s="476">
        <f>+DG$31</f>
        <v>24639.474318181816</v>
      </c>
      <c r="DI137" s="476">
        <f t="shared" si="171"/>
        <v>135517.1087499992</v>
      </c>
      <c r="DJ137" s="493">
        <f>+DG$28*DI137+DH137</f>
        <v>39891.825949323975</v>
      </c>
      <c r="DK137" s="492">
        <f>+DM136</f>
        <v>3389562.6546590999</v>
      </c>
      <c r="DL137" s="476">
        <f>+DK$31</f>
        <v>549658.80886363634</v>
      </c>
      <c r="DM137" s="476">
        <f t="shared" si="172"/>
        <v>2839903.8457954638</v>
      </c>
      <c r="DN137" s="493">
        <f>+DK$28*DM137+DL137</f>
        <v>869287.91292468063</v>
      </c>
      <c r="DO137" s="492">
        <f>+DQ136</f>
        <v>140414.3776893937</v>
      </c>
      <c r="DP137" s="476">
        <f>+DO$31</f>
        <v>19592.703863636354</v>
      </c>
      <c r="DQ137" s="476">
        <f t="shared" si="148"/>
        <v>120821.67382575735</v>
      </c>
      <c r="DR137" s="493">
        <f>+DO$28*DQ137+DP137</f>
        <v>33191.09502510383</v>
      </c>
      <c r="DS137" s="492">
        <f>+DU136</f>
        <v>62218.14545454544</v>
      </c>
      <c r="DT137" s="476">
        <f>+DS$31</f>
        <v>8295.7527272726966</v>
      </c>
      <c r="DU137" s="476">
        <f t="shared" si="173"/>
        <v>53922.392727272745</v>
      </c>
      <c r="DV137" s="493">
        <f>+DS$28*DU137+DT137</f>
        <v>14364.678652973656</v>
      </c>
      <c r="DW137" s="492">
        <f>+DY136</f>
        <v>8857.7847159090452</v>
      </c>
      <c r="DX137" s="476">
        <f>+DW$31</f>
        <v>1221.7634090909089</v>
      </c>
      <c r="DY137" s="476">
        <f t="shared" si="174"/>
        <v>7636.0213068181365</v>
      </c>
      <c r="DZ137" s="493">
        <f>+DW$28*DY137+DX137</f>
        <v>2081.1920311207796</v>
      </c>
      <c r="EA137" s="492">
        <f>+EC136</f>
        <v>-56369.054261364101</v>
      </c>
      <c r="EB137" s="476">
        <f>+EA$31</f>
        <v>-7120.3015909091364</v>
      </c>
      <c r="EC137" s="476">
        <f t="shared" si="175"/>
        <v>-49248.752670454967</v>
      </c>
      <c r="ED137" s="493">
        <f>+EA$28*EC137+EB137</f>
        <v>-12663.212741047846</v>
      </c>
      <c r="EE137" s="576">
        <f>+EG136</f>
        <v>1812665.410454554</v>
      </c>
      <c r="EF137" s="580">
        <f>+EE$31</f>
        <v>192495.44181818186</v>
      </c>
      <c r="EG137" s="580">
        <f t="shared" si="176"/>
        <v>1620169.9686363721</v>
      </c>
      <c r="EH137" s="493">
        <f>+EE$28*EG137+EF137</f>
        <v>374844.38869134674</v>
      </c>
      <c r="EI137" s="576">
        <f>+EK136</f>
        <v>75679.315643939248</v>
      </c>
      <c r="EJ137" s="580">
        <f>+EI$31</f>
        <v>7696.2015909090906</v>
      </c>
      <c r="EK137" s="580">
        <f t="shared" si="177"/>
        <v>67983.114053030164</v>
      </c>
      <c r="EL137" s="493">
        <f>+EI$28*EK137+EJ137</f>
        <v>15347.65143426228</v>
      </c>
      <c r="EM137" s="576">
        <f>+EO136</f>
        <v>2612764.5886363592</v>
      </c>
      <c r="EN137" s="580">
        <f>+EM$31</f>
        <v>261276.45886363636</v>
      </c>
      <c r="EO137" s="580">
        <f t="shared" si="178"/>
        <v>2351488.1297727227</v>
      </c>
      <c r="EP137" s="493">
        <f>+EM$28*EO137+EN137</f>
        <v>525934.73074217234</v>
      </c>
      <c r="EQ137" s="576">
        <f>+ES136</f>
        <v>5256090.0620454401</v>
      </c>
      <c r="ER137" s="580">
        <f>+EQ$31</f>
        <v>500580.00590909086</v>
      </c>
      <c r="ES137" s="580">
        <f t="shared" si="179"/>
        <v>4755510.0561363492</v>
      </c>
      <c r="ET137" s="493">
        <f>+EQ$28*ES137+ER137</f>
        <v>1035809.1901107102</v>
      </c>
      <c r="EU137" s="576">
        <f>+EW136</f>
        <v>6791564.5922727212</v>
      </c>
      <c r="EV137" s="580">
        <f>+EU$31</f>
        <v>646815.67545454553</v>
      </c>
      <c r="EW137" s="580">
        <f t="shared" si="195"/>
        <v>6144748.9168181755</v>
      </c>
      <c r="EX137" s="493">
        <f>+EU$28*EW137+EV137</f>
        <v>1338402.6789618889</v>
      </c>
      <c r="EY137" s="582">
        <f t="shared" si="196"/>
        <v>9537908.0429243762</v>
      </c>
      <c r="EZ137" s="557"/>
      <c r="FA137" s="578">
        <f>+EY137</f>
        <v>9537908.0429243762</v>
      </c>
      <c r="FD137" s="492"/>
      <c r="FE137" s="476"/>
      <c r="FF137" s="476"/>
      <c r="FG137" s="493"/>
      <c r="FH137" s="492"/>
      <c r="FI137" s="476"/>
      <c r="FJ137" s="476"/>
      <c r="FK137" s="493"/>
      <c r="FL137" s="492"/>
      <c r="FM137" s="476"/>
      <c r="FN137" s="476"/>
      <c r="FO137" s="493"/>
      <c r="FP137" s="492"/>
      <c r="FQ137" s="476"/>
      <c r="FR137" s="476"/>
      <c r="FS137" s="493"/>
      <c r="FT137" s="492"/>
      <c r="FU137" s="476"/>
      <c r="FV137" s="476"/>
      <c r="FW137" s="493"/>
      <c r="FX137" s="492"/>
      <c r="FY137" s="476"/>
      <c r="FZ137" s="476"/>
      <c r="GA137" s="493"/>
      <c r="GB137" s="492"/>
      <c r="GC137" s="476"/>
      <c r="GD137" s="476"/>
      <c r="GE137" s="493"/>
      <c r="GF137" s="492"/>
      <c r="GG137" s="476"/>
      <c r="GH137" s="476"/>
      <c r="GI137" s="493"/>
      <c r="GJ137" s="492"/>
      <c r="GK137" s="476"/>
      <c r="GL137" s="476"/>
      <c r="GM137" s="493"/>
      <c r="GN137" s="492"/>
      <c r="GO137" s="476"/>
      <c r="GP137" s="476"/>
      <c r="GQ137" s="493"/>
      <c r="GR137" s="492"/>
      <c r="GS137" s="476"/>
      <c r="GT137" s="476"/>
      <c r="GU137" s="493"/>
      <c r="GV137" s="492"/>
      <c r="GW137" s="476"/>
      <c r="GX137" s="476"/>
      <c r="GY137" s="493"/>
      <c r="GZ137" s="492"/>
      <c r="HA137" s="476"/>
      <c r="HB137" s="476"/>
      <c r="HC137" s="493"/>
      <c r="HD137" s="576"/>
      <c r="HE137" s="580"/>
      <c r="HF137" s="580"/>
      <c r="HG137" s="918"/>
      <c r="HH137" s="919"/>
      <c r="HI137" s="925"/>
      <c r="HJ137" s="925"/>
      <c r="HK137" s="918"/>
      <c r="HL137" s="919"/>
      <c r="HM137" s="925"/>
      <c r="HN137" s="925"/>
      <c r="HO137" s="918"/>
      <c r="HP137" s="919"/>
      <c r="HQ137" s="925"/>
      <c r="HR137" s="925"/>
      <c r="HS137" s="918"/>
      <c r="HT137" s="919"/>
      <c r="HU137" s="925"/>
      <c r="HV137" s="925"/>
      <c r="HW137" s="918"/>
      <c r="HY137" s="492"/>
      <c r="HZ137" s="476"/>
      <c r="IA137" s="476"/>
      <c r="IB137" s="493"/>
      <c r="IC137" s="492"/>
      <c r="ID137" s="476"/>
      <c r="IE137" s="476"/>
      <c r="IF137" s="493"/>
      <c r="IG137" s="492"/>
      <c r="IH137" s="476"/>
      <c r="II137" s="476"/>
      <c r="IJ137" s="493"/>
    </row>
    <row r="138" spans="1:244">
      <c r="A138" s="554" t="s">
        <v>23</v>
      </c>
      <c r="B138" s="574">
        <v>2055</v>
      </c>
      <c r="C138" s="575"/>
      <c r="D138" s="575"/>
      <c r="E138" s="575"/>
      <c r="F138" s="558"/>
      <c r="G138" s="575"/>
      <c r="H138" s="575"/>
      <c r="I138" s="575"/>
      <c r="J138" s="558"/>
      <c r="K138" s="563"/>
      <c r="L138" s="563"/>
      <c r="M138" s="563"/>
      <c r="N138" s="558"/>
      <c r="O138" s="575"/>
      <c r="P138" s="575"/>
      <c r="Q138" s="575"/>
      <c r="R138" s="558"/>
      <c r="S138" s="476"/>
      <c r="T138" s="476"/>
      <c r="U138" s="476"/>
      <c r="V138" s="493"/>
      <c r="W138" s="476"/>
      <c r="X138" s="476"/>
      <c r="Y138" s="476"/>
      <c r="Z138" s="493"/>
      <c r="AA138" s="507"/>
      <c r="AB138" s="507"/>
      <c r="AC138" s="507"/>
      <c r="AD138" s="507"/>
      <c r="AE138" s="476"/>
      <c r="AF138" s="476"/>
      <c r="AG138" s="476"/>
      <c r="AH138" s="493"/>
      <c r="AI138" s="476"/>
      <c r="AJ138" s="476"/>
      <c r="AK138" s="476"/>
      <c r="AL138" s="493"/>
      <c r="AM138" s="507"/>
      <c r="AN138" s="507"/>
      <c r="AO138" s="507"/>
      <c r="AP138" s="507"/>
      <c r="AQ138" s="476"/>
      <c r="AR138" s="476"/>
      <c r="AS138" s="476"/>
      <c r="AT138" s="493"/>
      <c r="AU138" s="575"/>
      <c r="AV138" s="575"/>
      <c r="AW138" s="575"/>
      <c r="AX138" s="558"/>
      <c r="AY138" s="575"/>
      <c r="AZ138" s="575"/>
      <c r="BA138" s="575"/>
      <c r="BB138" s="558"/>
      <c r="BC138" s="575"/>
      <c r="BD138" s="575"/>
      <c r="BE138" s="575"/>
      <c r="BF138" s="558"/>
      <c r="BG138" s="575"/>
      <c r="BH138" s="575"/>
      <c r="BI138" s="575"/>
      <c r="BJ138" s="558"/>
      <c r="BK138" s="575"/>
      <c r="BL138" s="575"/>
      <c r="BM138" s="575"/>
      <c r="BN138" s="558"/>
      <c r="BO138" s="575"/>
      <c r="BP138" s="575"/>
      <c r="BQ138" s="575"/>
      <c r="BR138" s="558"/>
      <c r="BS138" s="476"/>
      <c r="BT138" s="476"/>
      <c r="BU138" s="476"/>
      <c r="BV138" s="493"/>
      <c r="BW138" s="492">
        <f>+BW137</f>
        <v>288420.61363638006</v>
      </c>
      <c r="BX138" s="476">
        <f>+BX137</f>
        <v>288420.61363636365</v>
      </c>
      <c r="BY138" s="476">
        <f t="shared" si="208"/>
        <v>1.6414560377597809E-8</v>
      </c>
      <c r="BZ138" s="493">
        <f>+BW$29*BY138+BX138</f>
        <v>288420.61363636551</v>
      </c>
      <c r="CA138" s="492">
        <f>+CA137</f>
        <v>31753.120000001712</v>
      </c>
      <c r="CB138" s="476">
        <f>+CB137</f>
        <v>31753.119999999999</v>
      </c>
      <c r="CC138" s="476">
        <f t="shared" si="209"/>
        <v>1.7134880181401968E-9</v>
      </c>
      <c r="CD138" s="493">
        <f>+CA$29*CC138+CB138</f>
        <v>31753.120000000203</v>
      </c>
      <c r="CE138" s="492">
        <f>+CE137</f>
        <v>1181.2572727274819</v>
      </c>
      <c r="CF138" s="476">
        <f>+CF137</f>
        <v>1181.2572727272727</v>
      </c>
      <c r="CG138" s="476">
        <f t="shared" si="210"/>
        <v>2.0918378140777349E-10</v>
      </c>
      <c r="CH138" s="493">
        <f>+CE$29*CG138+CF138</f>
        <v>1181.2572727272977</v>
      </c>
      <c r="CI138" s="492">
        <f>+CI137</f>
        <v>14423.181818181525</v>
      </c>
      <c r="CJ138" s="476">
        <f>+CJ137</f>
        <v>12362.727272727272</v>
      </c>
      <c r="CK138" s="476">
        <f t="shared" si="211"/>
        <v>2060.4545454542531</v>
      </c>
      <c r="CL138" s="493">
        <f>+CI$29*CK138+CJ138</f>
        <v>12594.629927212245</v>
      </c>
      <c r="CM138" s="492">
        <f>+CM137</f>
        <v>2781226.9809659221</v>
      </c>
      <c r="CN138" s="476">
        <f>+CN137</f>
        <v>483691.64886363636</v>
      </c>
      <c r="CO138" s="476">
        <f t="shared" si="212"/>
        <v>2297535.3321022857</v>
      </c>
      <c r="CP138" s="493">
        <f>+CM$29*CO138+CN138</f>
        <v>742277.57276232087</v>
      </c>
      <c r="CQ138" s="492">
        <f>+CQ137</f>
        <v>11601981.794829551</v>
      </c>
      <c r="CR138" s="476">
        <f>+CR137</f>
        <v>2017735.9643181816</v>
      </c>
      <c r="CS138" s="476">
        <f t="shared" si="213"/>
        <v>9584245.8305113688</v>
      </c>
      <c r="CT138" s="493">
        <f>+CQ$29*CS138+CR138</f>
        <v>3096435.8338375599</v>
      </c>
      <c r="CU138" s="492">
        <f>+CU137</f>
        <v>4057172.2350000166</v>
      </c>
      <c r="CV138" s="476">
        <f>+CV137</f>
        <v>676195.37250000006</v>
      </c>
      <c r="CW138" s="476">
        <f t="shared" si="214"/>
        <v>3380976.8625000166</v>
      </c>
      <c r="CX138" s="493">
        <f>+CU$29*CW138+CV138</f>
        <v>1056721.8494833452</v>
      </c>
      <c r="CY138" s="492">
        <f>+CY137</f>
        <v>4769.2051136363552</v>
      </c>
      <c r="CZ138" s="476">
        <f>+CZ137</f>
        <v>733.72386363636497</v>
      </c>
      <c r="DA138" s="476">
        <f t="shared" si="169"/>
        <v>4035.4812499999903</v>
      </c>
      <c r="DB138" s="493">
        <f>+CY$29*DA138+CZ138</f>
        <v>1187.9143314940357</v>
      </c>
      <c r="DC138" s="492">
        <f>+DC137</f>
        <v>278316.70454545645</v>
      </c>
      <c r="DD138" s="476">
        <f>+DD137</f>
        <v>44530.672727272722</v>
      </c>
      <c r="DE138" s="476">
        <f t="shared" si="170"/>
        <v>233786.03181818372</v>
      </c>
      <c r="DF138" s="493">
        <f>+DC$29*DE138+DD138</f>
        <v>70843.119890814705</v>
      </c>
      <c r="DG138" s="492">
        <f>+DG137</f>
        <v>160156.583068181</v>
      </c>
      <c r="DH138" s="476">
        <f>+DH137</f>
        <v>24639.474318181816</v>
      </c>
      <c r="DI138" s="476">
        <f t="shared" si="171"/>
        <v>135517.1087499992</v>
      </c>
      <c r="DJ138" s="493">
        <f>+DG$29*DI138+DH138</f>
        <v>39891.825949323975</v>
      </c>
      <c r="DK138" s="492">
        <f>+DK137</f>
        <v>3389562.6546590999</v>
      </c>
      <c r="DL138" s="476">
        <f>+DL137</f>
        <v>549658.80886363634</v>
      </c>
      <c r="DM138" s="476">
        <f t="shared" si="172"/>
        <v>2839903.8457954638</v>
      </c>
      <c r="DN138" s="493">
        <f>+DK$29*DM138+DL138</f>
        <v>869287.91292468063</v>
      </c>
      <c r="DO138" s="492">
        <f>+DO137</f>
        <v>140414.3776893937</v>
      </c>
      <c r="DP138" s="476">
        <f>+DP137</f>
        <v>19592.703863636354</v>
      </c>
      <c r="DQ138" s="476">
        <f t="shared" si="148"/>
        <v>120821.67382575735</v>
      </c>
      <c r="DR138" s="493">
        <f>+DO$29*DQ138+DP138</f>
        <v>33191.09502510383</v>
      </c>
      <c r="DS138" s="492">
        <f>+DS137</f>
        <v>62218.14545454544</v>
      </c>
      <c r="DT138" s="476">
        <f>+DT137</f>
        <v>8295.7527272726966</v>
      </c>
      <c r="DU138" s="476">
        <f t="shared" si="173"/>
        <v>53922.392727272745</v>
      </c>
      <c r="DV138" s="493">
        <f>+DS$29*DU138+DT138</f>
        <v>14364.678652973656</v>
      </c>
      <c r="DW138" s="492">
        <f>+DW137</f>
        <v>8857.7847159090452</v>
      </c>
      <c r="DX138" s="476">
        <f>+DX137</f>
        <v>1221.7634090909089</v>
      </c>
      <c r="DY138" s="476">
        <f t="shared" si="174"/>
        <v>7636.0213068181365</v>
      </c>
      <c r="DZ138" s="493">
        <f>+DW$29*DY138+DX138</f>
        <v>2081.1920311207796</v>
      </c>
      <c r="EA138" s="492">
        <f>+EA137</f>
        <v>-56369.054261364101</v>
      </c>
      <c r="EB138" s="476">
        <f>+EB137</f>
        <v>-7120.3015909091364</v>
      </c>
      <c r="EC138" s="476">
        <f t="shared" si="175"/>
        <v>-49248.752670454967</v>
      </c>
      <c r="ED138" s="493">
        <f>+EA$29*EC138+EB138</f>
        <v>-12663.212741047846</v>
      </c>
      <c r="EE138" s="576">
        <f>+EE137</f>
        <v>1812665.410454554</v>
      </c>
      <c r="EF138" s="580">
        <f>+EF137</f>
        <v>192495.44181818186</v>
      </c>
      <c r="EG138" s="580">
        <f t="shared" si="176"/>
        <v>1620169.9686363721</v>
      </c>
      <c r="EH138" s="493">
        <f>+EE$29*EG138+EF138</f>
        <v>374844.38869134674</v>
      </c>
      <c r="EI138" s="576">
        <f>+EI137</f>
        <v>75679.315643939248</v>
      </c>
      <c r="EJ138" s="580">
        <f>+EJ137</f>
        <v>7696.2015909090906</v>
      </c>
      <c r="EK138" s="580">
        <f t="shared" si="177"/>
        <v>67983.114053030164</v>
      </c>
      <c r="EL138" s="493">
        <f>+EI$29*EK138+EJ138</f>
        <v>15347.65143426228</v>
      </c>
      <c r="EM138" s="576">
        <f>+EM137</f>
        <v>2612764.5886363592</v>
      </c>
      <c r="EN138" s="580">
        <f>+EN137</f>
        <v>261276.45886363636</v>
      </c>
      <c r="EO138" s="580">
        <f t="shared" si="178"/>
        <v>2351488.1297727227</v>
      </c>
      <c r="EP138" s="493">
        <f>+EM$29*EO138+EN138</f>
        <v>525934.73074217234</v>
      </c>
      <c r="EQ138" s="576">
        <f>+EQ137</f>
        <v>5256090.0620454401</v>
      </c>
      <c r="ER138" s="580">
        <f>+ER137</f>
        <v>500580.00590909086</v>
      </c>
      <c r="ES138" s="580">
        <f t="shared" si="179"/>
        <v>4755510.0561363492</v>
      </c>
      <c r="ET138" s="493">
        <f>+EQ$29*ES138+ER138</f>
        <v>1035809.1901107102</v>
      </c>
      <c r="EU138" s="576">
        <f>+EU137</f>
        <v>6791564.5922727212</v>
      </c>
      <c r="EV138" s="580">
        <f>+EV137</f>
        <v>646815.67545454553</v>
      </c>
      <c r="EW138" s="580">
        <f t="shared" si="195"/>
        <v>6144748.9168181755</v>
      </c>
      <c r="EX138" s="493">
        <f>+EU$29*EW138+EV138</f>
        <v>1338402.6789618889</v>
      </c>
      <c r="EY138" s="582">
        <f t="shared" si="196"/>
        <v>9537908.0429243762</v>
      </c>
      <c r="EZ138" s="579">
        <f>+EY138</f>
        <v>9537908.0429243762</v>
      </c>
      <c r="FA138" s="553"/>
      <c r="FD138" s="492"/>
      <c r="FE138" s="476"/>
      <c r="FF138" s="476"/>
      <c r="FG138" s="493"/>
      <c r="FH138" s="492"/>
      <c r="FI138" s="476"/>
      <c r="FJ138" s="476"/>
      <c r="FK138" s="493"/>
      <c r="FL138" s="492"/>
      <c r="FM138" s="476"/>
      <c r="FN138" s="476"/>
      <c r="FO138" s="493"/>
      <c r="FP138" s="492"/>
      <c r="FQ138" s="476"/>
      <c r="FR138" s="476"/>
      <c r="FS138" s="493"/>
      <c r="FT138" s="492"/>
      <c r="FU138" s="476"/>
      <c r="FV138" s="476"/>
      <c r="FW138" s="493"/>
      <c r="FX138" s="492"/>
      <c r="FY138" s="476"/>
      <c r="FZ138" s="476"/>
      <c r="GA138" s="493"/>
      <c r="GB138" s="492"/>
      <c r="GC138" s="476"/>
      <c r="GD138" s="476"/>
      <c r="GE138" s="493"/>
      <c r="GF138" s="492"/>
      <c r="GG138" s="476"/>
      <c r="GH138" s="476"/>
      <c r="GI138" s="493"/>
      <c r="GJ138" s="492"/>
      <c r="GK138" s="476"/>
      <c r="GL138" s="476"/>
      <c r="GM138" s="493"/>
      <c r="GN138" s="492"/>
      <c r="GO138" s="476"/>
      <c r="GP138" s="476"/>
      <c r="GQ138" s="493"/>
      <c r="GR138" s="492"/>
      <c r="GS138" s="476"/>
      <c r="GT138" s="476"/>
      <c r="GU138" s="493"/>
      <c r="GV138" s="492"/>
      <c r="GW138" s="476"/>
      <c r="GX138" s="476"/>
      <c r="GY138" s="493"/>
      <c r="GZ138" s="492"/>
      <c r="HA138" s="476"/>
      <c r="HB138" s="476"/>
      <c r="HC138" s="493"/>
      <c r="HD138" s="576"/>
      <c r="HE138" s="580"/>
      <c r="HF138" s="580"/>
      <c r="HG138" s="918"/>
      <c r="HH138" s="919"/>
      <c r="HI138" s="925"/>
      <c r="HJ138" s="925"/>
      <c r="HK138" s="918"/>
      <c r="HL138" s="919"/>
      <c r="HM138" s="925"/>
      <c r="HN138" s="925"/>
      <c r="HO138" s="918"/>
      <c r="HP138" s="919"/>
      <c r="HQ138" s="925"/>
      <c r="HR138" s="925"/>
      <c r="HS138" s="918"/>
      <c r="HT138" s="919"/>
      <c r="HU138" s="925"/>
      <c r="HV138" s="925"/>
      <c r="HW138" s="918"/>
      <c r="HY138" s="492"/>
      <c r="HZ138" s="476"/>
      <c r="IA138" s="476"/>
      <c r="IB138" s="493"/>
      <c r="IC138" s="492"/>
      <c r="ID138" s="476"/>
      <c r="IE138" s="476"/>
      <c r="IF138" s="493"/>
      <c r="IG138" s="492"/>
      <c r="IH138" s="476"/>
      <c r="II138" s="476"/>
      <c r="IJ138" s="493"/>
    </row>
    <row r="139" spans="1:244">
      <c r="A139" s="554" t="s">
        <v>24</v>
      </c>
      <c r="B139" s="574">
        <v>2056</v>
      </c>
      <c r="C139" s="575"/>
      <c r="D139" s="575"/>
      <c r="E139" s="575"/>
      <c r="F139" s="558"/>
      <c r="G139" s="575"/>
      <c r="H139" s="575"/>
      <c r="I139" s="575"/>
      <c r="J139" s="558"/>
      <c r="K139" s="563"/>
      <c r="L139" s="563"/>
      <c r="M139" s="563"/>
      <c r="N139" s="558"/>
      <c r="O139" s="575"/>
      <c r="P139" s="575"/>
      <c r="Q139" s="575"/>
      <c r="R139" s="558"/>
      <c r="S139" s="476"/>
      <c r="T139" s="476"/>
      <c r="U139" s="476"/>
      <c r="V139" s="493"/>
      <c r="W139" s="476"/>
      <c r="X139" s="476"/>
      <c r="Y139" s="476"/>
      <c r="Z139" s="493"/>
      <c r="AA139" s="507"/>
      <c r="AB139" s="507"/>
      <c r="AC139" s="507"/>
      <c r="AD139" s="507"/>
      <c r="AE139" s="476"/>
      <c r="AF139" s="476"/>
      <c r="AG139" s="476"/>
      <c r="AH139" s="493"/>
      <c r="AI139" s="476"/>
      <c r="AJ139" s="476"/>
      <c r="AK139" s="476"/>
      <c r="AL139" s="493"/>
      <c r="AM139" s="507"/>
      <c r="AN139" s="507"/>
      <c r="AO139" s="507"/>
      <c r="AP139" s="507"/>
      <c r="AQ139" s="476"/>
      <c r="AR139" s="476"/>
      <c r="AS139" s="476"/>
      <c r="AT139" s="493"/>
      <c r="AU139" s="575"/>
      <c r="AV139" s="575"/>
      <c r="AW139" s="575"/>
      <c r="AX139" s="558"/>
      <c r="AY139" s="575"/>
      <c r="AZ139" s="575"/>
      <c r="BA139" s="575"/>
      <c r="BB139" s="558"/>
      <c r="BC139" s="575"/>
      <c r="BD139" s="575"/>
      <c r="BE139" s="575"/>
      <c r="BF139" s="558"/>
      <c r="BG139" s="575"/>
      <c r="BH139" s="575"/>
      <c r="BI139" s="575"/>
      <c r="BJ139" s="558"/>
      <c r="BK139" s="575"/>
      <c r="BL139" s="575"/>
      <c r="BM139" s="575"/>
      <c r="BN139" s="558"/>
      <c r="BO139" s="575"/>
      <c r="BP139" s="575"/>
      <c r="BQ139" s="575"/>
      <c r="BR139" s="558"/>
      <c r="BS139" s="476"/>
      <c r="BT139" s="476"/>
      <c r="BU139" s="476"/>
      <c r="BV139" s="493"/>
      <c r="BW139" s="492"/>
      <c r="BX139" s="507"/>
      <c r="BY139" s="507"/>
      <c r="BZ139" s="507"/>
      <c r="CA139" s="476"/>
      <c r="CB139" s="476"/>
      <c r="CC139" s="476"/>
      <c r="CD139" s="493"/>
      <c r="CE139" s="476"/>
      <c r="CF139" s="476"/>
      <c r="CG139" s="476"/>
      <c r="CH139" s="493"/>
      <c r="CI139" s="492">
        <f>+CK138</f>
        <v>2060.4545454542531</v>
      </c>
      <c r="CJ139" s="476">
        <f>+CI$31/12*2</f>
        <v>2060.4545454545455</v>
      </c>
      <c r="CK139" s="476">
        <f t="shared" ref="CK139:CK140" si="215">+CI139-CJ139</f>
        <v>-2.9240254661999643E-10</v>
      </c>
      <c r="CL139" s="493">
        <f>+CI$28*CK139+CJ139</f>
        <v>2060.4545454545128</v>
      </c>
      <c r="CM139" s="492">
        <f>+CO138</f>
        <v>2297535.3321022857</v>
      </c>
      <c r="CN139" s="476">
        <f>+CM$31</f>
        <v>483691.64886363636</v>
      </c>
      <c r="CO139" s="476">
        <f t="shared" ref="CO139:CO140" si="216">+CM139-CN139</f>
        <v>1813843.6832386493</v>
      </c>
      <c r="CP139" s="493">
        <f>+CM$28*CO139+CN139</f>
        <v>687838.43088891392</v>
      </c>
      <c r="CQ139" s="492">
        <f>+CS138</f>
        <v>9584245.8305113688</v>
      </c>
      <c r="CR139" s="476">
        <f>+CQ$31</f>
        <v>2017735.9643181816</v>
      </c>
      <c r="CS139" s="476">
        <f t="shared" ref="CS139:CS140" si="217">+CQ139-CR139</f>
        <v>7566509.8661931874</v>
      </c>
      <c r="CT139" s="493">
        <f>+CQ$28*CS139+CR139</f>
        <v>2869341.1244650595</v>
      </c>
      <c r="CU139" s="492">
        <f>+CW138</f>
        <v>3380976.8625000166</v>
      </c>
      <c r="CV139" s="476">
        <f>+CU$31</f>
        <v>676195.37250000006</v>
      </c>
      <c r="CW139" s="476">
        <f t="shared" ref="CW139:CW140" si="218">+CU139-CV139</f>
        <v>2704781.4900000165</v>
      </c>
      <c r="CX139" s="493">
        <f>+CU$28*CW139+CV139</f>
        <v>980616.55408667645</v>
      </c>
      <c r="CY139" s="492">
        <f>+DA138</f>
        <v>4035.4812499999903</v>
      </c>
      <c r="CZ139" s="476">
        <f>+CY$31</f>
        <v>733.72386363636497</v>
      </c>
      <c r="DA139" s="476">
        <f t="shared" si="169"/>
        <v>3301.7573863636253</v>
      </c>
      <c r="DB139" s="493">
        <f>+CY$28*DA139+CZ139</f>
        <v>1105.3342464290042</v>
      </c>
      <c r="DC139" s="492">
        <f>+DE138</f>
        <v>233786.03181818372</v>
      </c>
      <c r="DD139" s="476">
        <f>+DC$31</f>
        <v>44530.672727272722</v>
      </c>
      <c r="DE139" s="476">
        <f t="shared" si="170"/>
        <v>189255.35909091099</v>
      </c>
      <c r="DF139" s="493">
        <f>+DC$28*DE139+DD139</f>
        <v>65831.225192997226</v>
      </c>
      <c r="DG139" s="492">
        <f>+DI138</f>
        <v>135517.1087499992</v>
      </c>
      <c r="DH139" s="476">
        <f>+DG$31</f>
        <v>24639.474318181816</v>
      </c>
      <c r="DI139" s="476">
        <f t="shared" si="171"/>
        <v>110877.63443181738</v>
      </c>
      <c r="DJ139" s="493">
        <f>+DG$28*DI139+DH139</f>
        <v>37118.671107298112</v>
      </c>
      <c r="DK139" s="492">
        <f>+DM138</f>
        <v>2839903.8457954638</v>
      </c>
      <c r="DL139" s="476">
        <f>+DK$31</f>
        <v>549658.80886363634</v>
      </c>
      <c r="DM139" s="476">
        <f t="shared" si="172"/>
        <v>2290245.0369318277</v>
      </c>
      <c r="DN139" s="493">
        <f>+DK$28*DM139+DL139</f>
        <v>807424.21536447864</v>
      </c>
      <c r="DO139" s="492">
        <f>+DQ138</f>
        <v>120821.67382575735</v>
      </c>
      <c r="DP139" s="476">
        <f>+DO$31</f>
        <v>19592.703863636354</v>
      </c>
      <c r="DQ139" s="476">
        <f t="shared" si="148"/>
        <v>101228.96996212099</v>
      </c>
      <c r="DR139" s="493">
        <f>+DO$28*DQ139+DP139</f>
        <v>30985.950512433428</v>
      </c>
      <c r="DS139" s="492">
        <f>+DU138</f>
        <v>53922.392727272745</v>
      </c>
      <c r="DT139" s="476">
        <f>+DS$31</f>
        <v>8295.7527272726966</v>
      </c>
      <c r="DU139" s="476">
        <f t="shared" si="173"/>
        <v>45626.64000000005</v>
      </c>
      <c r="DV139" s="493">
        <f>+DS$28*DU139+DT139</f>
        <v>13430.997741327359</v>
      </c>
      <c r="DW139" s="492">
        <f>+DY138</f>
        <v>7636.0213068181365</v>
      </c>
      <c r="DX139" s="476">
        <f>+DW$31</f>
        <v>1221.7634090909089</v>
      </c>
      <c r="DY139" s="476">
        <f t="shared" si="174"/>
        <v>6414.2578977272278</v>
      </c>
      <c r="DZ139" s="493">
        <f>+DW$28*DY139+DX139</f>
        <v>1943.6834515959993</v>
      </c>
      <c r="EA139" s="492">
        <f>+EC138</f>
        <v>-49248.752670454967</v>
      </c>
      <c r="EB139" s="476">
        <f>+EA$31</f>
        <v>-7120.3015909091364</v>
      </c>
      <c r="EC139" s="476">
        <f t="shared" si="175"/>
        <v>-42128.451079545834</v>
      </c>
      <c r="ED139" s="493">
        <f>+EA$28*EC139+EB139</f>
        <v>-11861.827996449481</v>
      </c>
      <c r="EE139" s="576">
        <f>+EG138</f>
        <v>1620169.9686363721</v>
      </c>
      <c r="EF139" s="580">
        <f>+EE$31</f>
        <v>192495.44181818186</v>
      </c>
      <c r="EG139" s="580">
        <f t="shared" si="176"/>
        <v>1427674.5268181902</v>
      </c>
      <c r="EH139" s="493">
        <f>+EE$28*EG139+EF139</f>
        <v>353179.16728067386</v>
      </c>
      <c r="EI139" s="576">
        <f>+EK138</f>
        <v>67983.114053030164</v>
      </c>
      <c r="EJ139" s="580">
        <f>+EI$31</f>
        <v>7696.2015909090906</v>
      </c>
      <c r="EK139" s="580">
        <f t="shared" si="177"/>
        <v>60286.912462121072</v>
      </c>
      <c r="EL139" s="493">
        <f>+EI$28*EK139+EJ139</f>
        <v>14481.449565203424</v>
      </c>
      <c r="EM139" s="576">
        <f>+EO138</f>
        <v>2351488.1297727227</v>
      </c>
      <c r="EN139" s="580">
        <f>+EM$31</f>
        <v>261276.45886363636</v>
      </c>
      <c r="EO139" s="580">
        <f t="shared" si="178"/>
        <v>2090211.6709090862</v>
      </c>
      <c r="EP139" s="493">
        <f>+EM$28*EO139+EN139</f>
        <v>496528.25608900166</v>
      </c>
      <c r="EQ139" s="576">
        <f>+ES138</f>
        <v>4755510.0561363492</v>
      </c>
      <c r="ER139" s="580">
        <f>+EQ$31</f>
        <v>500580.00590909086</v>
      </c>
      <c r="ES139" s="580">
        <f t="shared" si="179"/>
        <v>4254930.0502272584</v>
      </c>
      <c r="ET139" s="493">
        <f>+EQ$28*ES139+ER139</f>
        <v>979469.27598422382</v>
      </c>
      <c r="EU139" s="576">
        <f>+EW138</f>
        <v>6144748.9168181755</v>
      </c>
      <c r="EV139" s="580">
        <f>+EU$31</f>
        <v>646815.67545454553</v>
      </c>
      <c r="EW139" s="580">
        <f t="shared" si="195"/>
        <v>5497933.2413636297</v>
      </c>
      <c r="EX139" s="493">
        <f>+EU$28*EW139+EV139</f>
        <v>1265604.0470137475</v>
      </c>
      <c r="EY139" s="582">
        <f t="shared" si="196"/>
        <v>8595097.0095390659</v>
      </c>
      <c r="EZ139" s="557"/>
      <c r="FA139" s="578">
        <f>+EY139</f>
        <v>8595097.0095390659</v>
      </c>
      <c r="FD139" s="492"/>
      <c r="FE139" s="476"/>
      <c r="FF139" s="476"/>
      <c r="FG139" s="493"/>
      <c r="FH139" s="492"/>
      <c r="FI139" s="476"/>
      <c r="FJ139" s="476"/>
      <c r="FK139" s="493"/>
      <c r="FL139" s="492"/>
      <c r="FM139" s="476"/>
      <c r="FN139" s="476"/>
      <c r="FO139" s="493"/>
      <c r="FP139" s="492"/>
      <c r="FQ139" s="476"/>
      <c r="FR139" s="476"/>
      <c r="FS139" s="493"/>
      <c r="FT139" s="492"/>
      <c r="FU139" s="476"/>
      <c r="FV139" s="476"/>
      <c r="FW139" s="493"/>
      <c r="FX139" s="492"/>
      <c r="FY139" s="476"/>
      <c r="FZ139" s="476"/>
      <c r="GA139" s="493"/>
      <c r="GB139" s="492"/>
      <c r="GC139" s="476"/>
      <c r="GD139" s="476"/>
      <c r="GE139" s="493"/>
      <c r="GF139" s="492"/>
      <c r="GG139" s="476"/>
      <c r="GH139" s="476"/>
      <c r="GI139" s="493"/>
      <c r="GJ139" s="492"/>
      <c r="GK139" s="476"/>
      <c r="GL139" s="476"/>
      <c r="GM139" s="493"/>
      <c r="GN139" s="492"/>
      <c r="GO139" s="476"/>
      <c r="GP139" s="476"/>
      <c r="GQ139" s="493"/>
      <c r="GR139" s="492"/>
      <c r="GS139" s="476"/>
      <c r="GT139" s="476"/>
      <c r="GU139" s="493"/>
      <c r="GV139" s="492"/>
      <c r="GW139" s="476"/>
      <c r="GX139" s="476"/>
      <c r="GY139" s="493"/>
      <c r="GZ139" s="492"/>
      <c r="HA139" s="476"/>
      <c r="HB139" s="476"/>
      <c r="HC139" s="493"/>
      <c r="HD139" s="576"/>
      <c r="HE139" s="580"/>
      <c r="HF139" s="580"/>
      <c r="HG139" s="918"/>
      <c r="HH139" s="919"/>
      <c r="HI139" s="925"/>
      <c r="HJ139" s="925"/>
      <c r="HK139" s="918"/>
      <c r="HL139" s="919"/>
      <c r="HM139" s="925"/>
      <c r="HN139" s="925"/>
      <c r="HO139" s="918"/>
      <c r="HP139" s="919"/>
      <c r="HQ139" s="925"/>
      <c r="HR139" s="925"/>
      <c r="HS139" s="918"/>
      <c r="HT139" s="919"/>
      <c r="HU139" s="925"/>
      <c r="HV139" s="925"/>
      <c r="HW139" s="918"/>
      <c r="HY139" s="492"/>
      <c r="HZ139" s="476"/>
      <c r="IA139" s="476"/>
      <c r="IB139" s="493"/>
      <c r="IC139" s="492"/>
      <c r="ID139" s="476"/>
      <c r="IE139" s="476"/>
      <c r="IF139" s="493"/>
      <c r="IG139" s="492"/>
      <c r="IH139" s="476"/>
      <c r="II139" s="476"/>
      <c r="IJ139" s="493"/>
    </row>
    <row r="140" spans="1:244">
      <c r="A140" s="554" t="s">
        <v>23</v>
      </c>
      <c r="B140" s="574">
        <v>2056</v>
      </c>
      <c r="C140" s="575"/>
      <c r="D140" s="575"/>
      <c r="E140" s="575"/>
      <c r="F140" s="558"/>
      <c r="G140" s="575"/>
      <c r="H140" s="575"/>
      <c r="I140" s="575"/>
      <c r="J140" s="558"/>
      <c r="K140" s="563"/>
      <c r="L140" s="563"/>
      <c r="M140" s="563"/>
      <c r="N140" s="558"/>
      <c r="O140" s="575"/>
      <c r="P140" s="575"/>
      <c r="Q140" s="575"/>
      <c r="R140" s="558"/>
      <c r="S140" s="476"/>
      <c r="T140" s="476"/>
      <c r="U140" s="476"/>
      <c r="V140" s="493"/>
      <c r="W140" s="476"/>
      <c r="X140" s="476"/>
      <c r="Y140" s="476"/>
      <c r="Z140" s="493"/>
      <c r="AA140" s="507"/>
      <c r="AB140" s="507"/>
      <c r="AC140" s="507"/>
      <c r="AD140" s="507"/>
      <c r="AE140" s="476"/>
      <c r="AF140" s="476"/>
      <c r="AG140" s="476"/>
      <c r="AH140" s="493"/>
      <c r="AI140" s="476"/>
      <c r="AJ140" s="476"/>
      <c r="AK140" s="476"/>
      <c r="AL140" s="493"/>
      <c r="AM140" s="507"/>
      <c r="AN140" s="507"/>
      <c r="AO140" s="507"/>
      <c r="AP140" s="507"/>
      <c r="AQ140" s="476"/>
      <c r="AR140" s="476"/>
      <c r="AS140" s="476"/>
      <c r="AT140" s="493"/>
      <c r="AU140" s="575"/>
      <c r="AV140" s="575"/>
      <c r="AW140" s="575"/>
      <c r="AX140" s="558"/>
      <c r="AY140" s="575"/>
      <c r="AZ140" s="575"/>
      <c r="BA140" s="575"/>
      <c r="BB140" s="558"/>
      <c r="BC140" s="575"/>
      <c r="BD140" s="575"/>
      <c r="BE140" s="575"/>
      <c r="BF140" s="558"/>
      <c r="BG140" s="575"/>
      <c r="BH140" s="575"/>
      <c r="BI140" s="575"/>
      <c r="BJ140" s="558"/>
      <c r="BK140" s="575"/>
      <c r="BL140" s="575"/>
      <c r="BM140" s="575"/>
      <c r="BN140" s="558"/>
      <c r="BO140" s="575"/>
      <c r="BP140" s="575"/>
      <c r="BQ140" s="575"/>
      <c r="BR140" s="558"/>
      <c r="BS140" s="476"/>
      <c r="BT140" s="476"/>
      <c r="BU140" s="476"/>
      <c r="BV140" s="493"/>
      <c r="BW140" s="492"/>
      <c r="BX140" s="507"/>
      <c r="BY140" s="507"/>
      <c r="BZ140" s="507"/>
      <c r="CA140" s="476"/>
      <c r="CB140" s="476"/>
      <c r="CC140" s="476"/>
      <c r="CD140" s="493"/>
      <c r="CE140" s="476"/>
      <c r="CF140" s="476"/>
      <c r="CG140" s="476"/>
      <c r="CH140" s="493"/>
      <c r="CI140" s="492">
        <f>+CI139</f>
        <v>2060.4545454542531</v>
      </c>
      <c r="CJ140" s="476">
        <f>+CJ139</f>
        <v>2060.4545454545455</v>
      </c>
      <c r="CK140" s="476">
        <f t="shared" si="215"/>
        <v>-2.9240254661999643E-10</v>
      </c>
      <c r="CL140" s="493">
        <f>+CI$29*CK140+CJ140</f>
        <v>2060.4545454545128</v>
      </c>
      <c r="CM140" s="492">
        <f>+CM139</f>
        <v>2297535.3321022857</v>
      </c>
      <c r="CN140" s="476">
        <f>+CN139</f>
        <v>483691.64886363636</v>
      </c>
      <c r="CO140" s="476">
        <f t="shared" si="216"/>
        <v>1813843.6832386493</v>
      </c>
      <c r="CP140" s="493">
        <f>+CM$29*CO140+CN140</f>
        <v>687838.43088891392</v>
      </c>
      <c r="CQ140" s="492">
        <f>+CQ139</f>
        <v>9584245.8305113688</v>
      </c>
      <c r="CR140" s="476">
        <f>+CR139</f>
        <v>2017735.9643181816</v>
      </c>
      <c r="CS140" s="476">
        <f t="shared" si="217"/>
        <v>7566509.8661931874</v>
      </c>
      <c r="CT140" s="493">
        <f>+CQ$29*CS140+CR140</f>
        <v>2869341.1244650595</v>
      </c>
      <c r="CU140" s="492">
        <f>+CU139</f>
        <v>3380976.8625000166</v>
      </c>
      <c r="CV140" s="476">
        <f>+CV139</f>
        <v>676195.37250000006</v>
      </c>
      <c r="CW140" s="476">
        <f t="shared" si="218"/>
        <v>2704781.4900000165</v>
      </c>
      <c r="CX140" s="493">
        <f>+CU$29*CW140+CV140</f>
        <v>980616.55408667645</v>
      </c>
      <c r="CY140" s="492">
        <f>+CY139</f>
        <v>4035.4812499999903</v>
      </c>
      <c r="CZ140" s="476">
        <f>+CZ139</f>
        <v>733.72386363636497</v>
      </c>
      <c r="DA140" s="476">
        <f t="shared" si="169"/>
        <v>3301.7573863636253</v>
      </c>
      <c r="DB140" s="493">
        <f>+CY$29*DA140+CZ140</f>
        <v>1105.3342464290042</v>
      </c>
      <c r="DC140" s="492">
        <f>+DC139</f>
        <v>233786.03181818372</v>
      </c>
      <c r="DD140" s="476">
        <f>+DD139</f>
        <v>44530.672727272722</v>
      </c>
      <c r="DE140" s="476">
        <f t="shared" si="170"/>
        <v>189255.35909091099</v>
      </c>
      <c r="DF140" s="493">
        <f>+DC$29*DE140+DD140</f>
        <v>65831.225192997226</v>
      </c>
      <c r="DG140" s="492">
        <f>+DG139</f>
        <v>135517.1087499992</v>
      </c>
      <c r="DH140" s="476">
        <f>+DH139</f>
        <v>24639.474318181816</v>
      </c>
      <c r="DI140" s="476">
        <f t="shared" si="171"/>
        <v>110877.63443181738</v>
      </c>
      <c r="DJ140" s="493">
        <f>+DG$29*DI140+DH140</f>
        <v>37118.671107298112</v>
      </c>
      <c r="DK140" s="492">
        <f>+DK139</f>
        <v>2839903.8457954638</v>
      </c>
      <c r="DL140" s="476">
        <f>+DL139</f>
        <v>549658.80886363634</v>
      </c>
      <c r="DM140" s="476">
        <f t="shared" si="172"/>
        <v>2290245.0369318277</v>
      </c>
      <c r="DN140" s="493">
        <f>+DK$29*DM140+DL140</f>
        <v>807424.21536447864</v>
      </c>
      <c r="DO140" s="492">
        <f>+DO139</f>
        <v>120821.67382575735</v>
      </c>
      <c r="DP140" s="476">
        <f>+DP139</f>
        <v>19592.703863636354</v>
      </c>
      <c r="DQ140" s="476">
        <f t="shared" si="148"/>
        <v>101228.96996212099</v>
      </c>
      <c r="DR140" s="493">
        <f>+DO$29*DQ140+DP140</f>
        <v>30985.950512433428</v>
      </c>
      <c r="DS140" s="492">
        <f>+DS139</f>
        <v>53922.392727272745</v>
      </c>
      <c r="DT140" s="476">
        <f>+DT139</f>
        <v>8295.7527272726966</v>
      </c>
      <c r="DU140" s="476">
        <f t="shared" si="173"/>
        <v>45626.64000000005</v>
      </c>
      <c r="DV140" s="493">
        <f>+DS$29*DU140+DT140</f>
        <v>13430.997741327359</v>
      </c>
      <c r="DW140" s="492">
        <f>+DW139</f>
        <v>7636.0213068181365</v>
      </c>
      <c r="DX140" s="476">
        <f>+DX139</f>
        <v>1221.7634090909089</v>
      </c>
      <c r="DY140" s="476">
        <f t="shared" si="174"/>
        <v>6414.2578977272278</v>
      </c>
      <c r="DZ140" s="493">
        <f>+DW$29*DY140+DX140</f>
        <v>1943.6834515959993</v>
      </c>
      <c r="EA140" s="492">
        <f>+EA139</f>
        <v>-49248.752670454967</v>
      </c>
      <c r="EB140" s="476">
        <f>+EB139</f>
        <v>-7120.3015909091364</v>
      </c>
      <c r="EC140" s="476">
        <f t="shared" si="175"/>
        <v>-42128.451079545834</v>
      </c>
      <c r="ED140" s="493">
        <f>+EA$29*EC140+EB140</f>
        <v>-11861.827996449481</v>
      </c>
      <c r="EE140" s="576">
        <f>+EE139</f>
        <v>1620169.9686363721</v>
      </c>
      <c r="EF140" s="580">
        <f>+EF139</f>
        <v>192495.44181818186</v>
      </c>
      <c r="EG140" s="580">
        <f t="shared" si="176"/>
        <v>1427674.5268181902</v>
      </c>
      <c r="EH140" s="493">
        <f>+EE$29*EG140+EF140</f>
        <v>353179.16728067386</v>
      </c>
      <c r="EI140" s="576">
        <f>+EI139</f>
        <v>67983.114053030164</v>
      </c>
      <c r="EJ140" s="580">
        <f>+EJ139</f>
        <v>7696.2015909090906</v>
      </c>
      <c r="EK140" s="580">
        <f t="shared" si="177"/>
        <v>60286.912462121072</v>
      </c>
      <c r="EL140" s="493">
        <f>+EI$29*EK140+EJ140</f>
        <v>14481.449565203424</v>
      </c>
      <c r="EM140" s="576">
        <f>+EM139</f>
        <v>2351488.1297727227</v>
      </c>
      <c r="EN140" s="580">
        <f>+EN139</f>
        <v>261276.45886363636</v>
      </c>
      <c r="EO140" s="580">
        <f t="shared" si="178"/>
        <v>2090211.6709090862</v>
      </c>
      <c r="EP140" s="493">
        <f>+EM$29*EO140+EN140</f>
        <v>496528.25608900166</v>
      </c>
      <c r="EQ140" s="576">
        <f>+EQ139</f>
        <v>4755510.0561363492</v>
      </c>
      <c r="ER140" s="580">
        <f>+ER139</f>
        <v>500580.00590909086</v>
      </c>
      <c r="ES140" s="580">
        <f t="shared" si="179"/>
        <v>4254930.0502272584</v>
      </c>
      <c r="ET140" s="493">
        <f>+EQ$29*ES140+ER140</f>
        <v>979469.27598422382</v>
      </c>
      <c r="EU140" s="576">
        <f>+EU139</f>
        <v>6144748.9168181755</v>
      </c>
      <c r="EV140" s="580">
        <f>+EV139</f>
        <v>646815.67545454553</v>
      </c>
      <c r="EW140" s="580">
        <f t="shared" si="195"/>
        <v>5497933.2413636297</v>
      </c>
      <c r="EX140" s="493">
        <f>+EU$29*EW140+EV140</f>
        <v>1265604.0470137475</v>
      </c>
      <c r="EY140" s="582">
        <f t="shared" si="196"/>
        <v>8595097.0095390659</v>
      </c>
      <c r="EZ140" s="579">
        <f>+EY140</f>
        <v>8595097.0095390659</v>
      </c>
      <c r="FA140" s="553"/>
      <c r="FD140" s="492"/>
      <c r="FE140" s="476"/>
      <c r="FF140" s="476"/>
      <c r="FG140" s="493"/>
      <c r="FH140" s="492"/>
      <c r="FI140" s="476"/>
      <c r="FJ140" s="476"/>
      <c r="FK140" s="493"/>
      <c r="FL140" s="492"/>
      <c r="FM140" s="476"/>
      <c r="FN140" s="476"/>
      <c r="FO140" s="493"/>
      <c r="FP140" s="492"/>
      <c r="FQ140" s="476"/>
      <c r="FR140" s="476"/>
      <c r="FS140" s="493"/>
      <c r="FT140" s="492"/>
      <c r="FU140" s="476"/>
      <c r="FV140" s="476"/>
      <c r="FW140" s="493"/>
      <c r="FX140" s="492"/>
      <c r="FY140" s="476"/>
      <c r="FZ140" s="476"/>
      <c r="GA140" s="493"/>
      <c r="GB140" s="492"/>
      <c r="GC140" s="476"/>
      <c r="GD140" s="476"/>
      <c r="GE140" s="493"/>
      <c r="GF140" s="492"/>
      <c r="GG140" s="476"/>
      <c r="GH140" s="476"/>
      <c r="GI140" s="493"/>
      <c r="GJ140" s="492"/>
      <c r="GK140" s="476"/>
      <c r="GL140" s="476"/>
      <c r="GM140" s="493"/>
      <c r="GN140" s="492"/>
      <c r="GO140" s="476"/>
      <c r="GP140" s="476"/>
      <c r="GQ140" s="493"/>
      <c r="GR140" s="492"/>
      <c r="GS140" s="476"/>
      <c r="GT140" s="476"/>
      <c r="GU140" s="493"/>
      <c r="GV140" s="492"/>
      <c r="GW140" s="476"/>
      <c r="GX140" s="476"/>
      <c r="GY140" s="493"/>
      <c r="GZ140" s="492"/>
      <c r="HA140" s="476"/>
      <c r="HB140" s="476"/>
      <c r="HC140" s="493"/>
      <c r="HD140" s="576"/>
      <c r="HE140" s="580"/>
      <c r="HF140" s="580"/>
      <c r="HG140" s="918"/>
      <c r="HH140" s="919"/>
      <c r="HI140" s="925"/>
      <c r="HJ140" s="925"/>
      <c r="HK140" s="918"/>
      <c r="HL140" s="919"/>
      <c r="HM140" s="925"/>
      <c r="HN140" s="925"/>
      <c r="HO140" s="918"/>
      <c r="HP140" s="919"/>
      <c r="HQ140" s="925"/>
      <c r="HR140" s="925"/>
      <c r="HS140" s="918"/>
      <c r="HT140" s="919"/>
      <c r="HU140" s="925"/>
      <c r="HV140" s="925"/>
      <c r="HW140" s="918"/>
      <c r="HY140" s="492"/>
      <c r="HZ140" s="476"/>
      <c r="IA140" s="476"/>
      <c r="IB140" s="493"/>
      <c r="IC140" s="492"/>
      <c r="ID140" s="476"/>
      <c r="IE140" s="476"/>
      <c r="IF140" s="493"/>
      <c r="IG140" s="492"/>
      <c r="IH140" s="476"/>
      <c r="II140" s="476"/>
      <c r="IJ140" s="493"/>
    </row>
    <row r="141" spans="1:244">
      <c r="A141" s="554" t="s">
        <v>24</v>
      </c>
      <c r="B141" s="574">
        <v>2057</v>
      </c>
      <c r="C141" s="575"/>
      <c r="D141" s="575"/>
      <c r="E141" s="575"/>
      <c r="F141" s="558"/>
      <c r="G141" s="575"/>
      <c r="H141" s="575"/>
      <c r="I141" s="575"/>
      <c r="J141" s="558"/>
      <c r="K141" s="563"/>
      <c r="L141" s="563"/>
      <c r="M141" s="563"/>
      <c r="N141" s="558"/>
      <c r="O141" s="575"/>
      <c r="P141" s="575"/>
      <c r="Q141" s="575"/>
      <c r="R141" s="558"/>
      <c r="S141" s="476"/>
      <c r="T141" s="476"/>
      <c r="U141" s="476"/>
      <c r="V141" s="493"/>
      <c r="W141" s="476"/>
      <c r="X141" s="476"/>
      <c r="Y141" s="476"/>
      <c r="Z141" s="493"/>
      <c r="AA141" s="507"/>
      <c r="AB141" s="507"/>
      <c r="AC141" s="507"/>
      <c r="AD141" s="507"/>
      <c r="AE141" s="476"/>
      <c r="AF141" s="476"/>
      <c r="AG141" s="476"/>
      <c r="AH141" s="493"/>
      <c r="AI141" s="476"/>
      <c r="AJ141" s="476"/>
      <c r="AK141" s="476"/>
      <c r="AL141" s="493"/>
      <c r="AM141" s="507"/>
      <c r="AN141" s="507"/>
      <c r="AO141" s="507"/>
      <c r="AP141" s="507"/>
      <c r="AQ141" s="476"/>
      <c r="AR141" s="476"/>
      <c r="AS141" s="476"/>
      <c r="AT141" s="493"/>
      <c r="AU141" s="575"/>
      <c r="AV141" s="575"/>
      <c r="AW141" s="575"/>
      <c r="AX141" s="558"/>
      <c r="AY141" s="575"/>
      <c r="AZ141" s="575"/>
      <c r="BA141" s="575"/>
      <c r="BB141" s="558"/>
      <c r="BC141" s="575"/>
      <c r="BD141" s="575"/>
      <c r="BE141" s="575"/>
      <c r="BF141" s="558"/>
      <c r="BG141" s="575"/>
      <c r="BH141" s="575"/>
      <c r="BI141" s="575"/>
      <c r="BJ141" s="558"/>
      <c r="BK141" s="575"/>
      <c r="BL141" s="575"/>
      <c r="BM141" s="575"/>
      <c r="BN141" s="558"/>
      <c r="BO141" s="575"/>
      <c r="BP141" s="575"/>
      <c r="BQ141" s="575"/>
      <c r="BR141" s="558"/>
      <c r="BS141" s="476"/>
      <c r="BT141" s="476"/>
      <c r="BU141" s="476"/>
      <c r="BV141" s="493"/>
      <c r="BW141" s="507"/>
      <c r="BX141" s="507"/>
      <c r="BY141" s="507"/>
      <c r="BZ141" s="507"/>
      <c r="CA141" s="476"/>
      <c r="CB141" s="476"/>
      <c r="CC141" s="476"/>
      <c r="CD141" s="493"/>
      <c r="CE141" s="476"/>
      <c r="CF141" s="476"/>
      <c r="CG141" s="476"/>
      <c r="CH141" s="493"/>
      <c r="CI141" s="507"/>
      <c r="CJ141" s="507"/>
      <c r="CK141" s="507"/>
      <c r="CL141" s="507"/>
      <c r="CM141" s="492">
        <f>+CO140</f>
        <v>1813843.6832386493</v>
      </c>
      <c r="CN141" s="476">
        <f>+CM$31</f>
        <v>483691.64886363636</v>
      </c>
      <c r="CO141" s="476">
        <f t="shared" ref="CO141:CO142" si="219">+CM141-CN141</f>
        <v>1330152.0343750129</v>
      </c>
      <c r="CP141" s="493">
        <f>+CM$28*CO141+CN141</f>
        <v>633399.28901550698</v>
      </c>
      <c r="CQ141" s="492">
        <f>+CS140</f>
        <v>7566509.8661931874</v>
      </c>
      <c r="CR141" s="476">
        <f>+CQ$31</f>
        <v>2017735.9643181816</v>
      </c>
      <c r="CS141" s="476">
        <f t="shared" ref="CS141:CS142" si="220">+CQ141-CR141</f>
        <v>5548773.901875006</v>
      </c>
      <c r="CT141" s="493">
        <f>+CQ$28*CS141+CR141</f>
        <v>2642246.4150925591</v>
      </c>
      <c r="CU141" s="492">
        <f>+CW140</f>
        <v>2704781.4900000165</v>
      </c>
      <c r="CV141" s="476">
        <f>+CU$31</f>
        <v>676195.37250000006</v>
      </c>
      <c r="CW141" s="476">
        <f t="shared" ref="CW141:CW142" si="221">+CU141-CV141</f>
        <v>2028586.1175000165</v>
      </c>
      <c r="CX141" s="493">
        <f>+CU$28*CW141+CV141</f>
        <v>904511.25869000785</v>
      </c>
      <c r="CY141" s="492">
        <f>+DA140</f>
        <v>3301.7573863636253</v>
      </c>
      <c r="CZ141" s="476">
        <f>+CY$31</f>
        <v>733.72386363636497</v>
      </c>
      <c r="DA141" s="476">
        <f t="shared" si="169"/>
        <v>2568.0335227272603</v>
      </c>
      <c r="DB141" s="493">
        <f>+CY$28*DA141+CZ141</f>
        <v>1022.7541613639728</v>
      </c>
      <c r="DC141" s="492">
        <f>+DE140</f>
        <v>189255.35909091099</v>
      </c>
      <c r="DD141" s="476">
        <f>+DC$31</f>
        <v>44530.672727272722</v>
      </c>
      <c r="DE141" s="476">
        <f t="shared" si="170"/>
        <v>144724.68636363826</v>
      </c>
      <c r="DF141" s="493">
        <f>+DC$28*DE141+DD141</f>
        <v>60819.330495179747</v>
      </c>
      <c r="DG141" s="492">
        <f>+DI140</f>
        <v>110877.63443181738</v>
      </c>
      <c r="DH141" s="476">
        <f>+DG$31</f>
        <v>24639.474318181816</v>
      </c>
      <c r="DI141" s="476">
        <f t="shared" si="171"/>
        <v>86238.16011363556</v>
      </c>
      <c r="DJ141" s="493">
        <f>+DG$28*DI141+DH141</f>
        <v>34345.51626527225</v>
      </c>
      <c r="DK141" s="492">
        <f>+DM140</f>
        <v>2290245.0369318277</v>
      </c>
      <c r="DL141" s="476">
        <f>+DK$31</f>
        <v>549658.80886363634</v>
      </c>
      <c r="DM141" s="476">
        <f t="shared" si="172"/>
        <v>1740586.2280681913</v>
      </c>
      <c r="DN141" s="493">
        <f>+DK$28*DM141+DL141</f>
        <v>745560.51780427678</v>
      </c>
      <c r="DO141" s="492">
        <f>+DQ140</f>
        <v>101228.96996212099</v>
      </c>
      <c r="DP141" s="476">
        <f>+DO$31</f>
        <v>19592.703863636354</v>
      </c>
      <c r="DQ141" s="476">
        <f t="shared" si="148"/>
        <v>81636.26609848463</v>
      </c>
      <c r="DR141" s="493">
        <f>+DO$28*DQ141+DP141</f>
        <v>28780.805999763023</v>
      </c>
      <c r="DS141" s="492">
        <f>+DU140</f>
        <v>45626.64000000005</v>
      </c>
      <c r="DT141" s="476">
        <f>+DS$31</f>
        <v>8295.7527272726966</v>
      </c>
      <c r="DU141" s="476">
        <f t="shared" si="173"/>
        <v>37330.887272727356</v>
      </c>
      <c r="DV141" s="493">
        <f>+DS$28*DU141+DT141</f>
        <v>12497.316829681062</v>
      </c>
      <c r="DW141" s="492">
        <f>+DY140</f>
        <v>6414.2578977272278</v>
      </c>
      <c r="DX141" s="476">
        <f>+DW$31</f>
        <v>1221.7634090909089</v>
      </c>
      <c r="DY141" s="476">
        <f t="shared" si="174"/>
        <v>5192.4944886363191</v>
      </c>
      <c r="DZ141" s="493">
        <f>+DW$28*DY141+DX141</f>
        <v>1806.1748720712194</v>
      </c>
      <c r="EA141" s="492">
        <f>+EC140</f>
        <v>-42128.451079545834</v>
      </c>
      <c r="EB141" s="476">
        <f>+EA$31</f>
        <v>-7120.3015909091364</v>
      </c>
      <c r="EC141" s="476">
        <f t="shared" si="175"/>
        <v>-35008.1494886367</v>
      </c>
      <c r="ED141" s="493">
        <f>+EA$28*EC141+EB141</f>
        <v>-11060.443251851115</v>
      </c>
      <c r="EE141" s="576">
        <f>+EG140</f>
        <v>1427674.5268181902</v>
      </c>
      <c r="EF141" s="580">
        <f>+EE$31</f>
        <v>192495.44181818186</v>
      </c>
      <c r="EG141" s="580">
        <f t="shared" si="176"/>
        <v>1235179.0850000083</v>
      </c>
      <c r="EH141" s="493">
        <f>+EE$28*EG141+EF141</f>
        <v>331513.94587000087</v>
      </c>
      <c r="EI141" s="576">
        <f>+EK140</f>
        <v>60286.912462121072</v>
      </c>
      <c r="EJ141" s="580">
        <f>+EI$31</f>
        <v>7696.2015909090906</v>
      </c>
      <c r="EK141" s="580">
        <f t="shared" si="177"/>
        <v>52590.710871211981</v>
      </c>
      <c r="EL141" s="493">
        <f>+EI$28*EK141+EJ141</f>
        <v>13615.247696144572</v>
      </c>
      <c r="EM141" s="576">
        <f>+EO140</f>
        <v>2090211.6709090862</v>
      </c>
      <c r="EN141" s="580">
        <f>+EM$31</f>
        <v>261276.45886363636</v>
      </c>
      <c r="EO141" s="580">
        <f t="shared" si="178"/>
        <v>1828935.2120454498</v>
      </c>
      <c r="EP141" s="493">
        <f>+EM$28*EO141+EN141</f>
        <v>467121.78143583087</v>
      </c>
      <c r="EQ141" s="576">
        <f>+ES140</f>
        <v>4254930.0502272584</v>
      </c>
      <c r="ER141" s="580">
        <f>+EQ$31</f>
        <v>500580.00590909086</v>
      </c>
      <c r="ES141" s="580">
        <f t="shared" si="179"/>
        <v>3754350.0443181675</v>
      </c>
      <c r="ET141" s="493">
        <f>+EQ$28*ES141+ER141</f>
        <v>923129.36185773741</v>
      </c>
      <c r="EU141" s="576">
        <f>+EW140</f>
        <v>5497933.2413636297</v>
      </c>
      <c r="EV141" s="580">
        <f>+EU$31</f>
        <v>646815.67545454553</v>
      </c>
      <c r="EW141" s="580">
        <f t="shared" si="195"/>
        <v>4851117.5659090839</v>
      </c>
      <c r="EX141" s="493">
        <f>+EU$28*EW141+EV141</f>
        <v>1192805.4150656059</v>
      </c>
      <c r="EY141" s="582">
        <f t="shared" si="196"/>
        <v>7982114.6878991518</v>
      </c>
      <c r="EZ141" s="557"/>
      <c r="FA141" s="578">
        <f>+EY141</f>
        <v>7982114.6878991518</v>
      </c>
      <c r="FD141" s="492"/>
      <c r="FE141" s="476"/>
      <c r="FF141" s="476"/>
      <c r="FG141" s="493"/>
      <c r="FH141" s="492"/>
      <c r="FI141" s="476"/>
      <c r="FJ141" s="476"/>
      <c r="FK141" s="493"/>
      <c r="FL141" s="492"/>
      <c r="FM141" s="476"/>
      <c r="FN141" s="476"/>
      <c r="FO141" s="493"/>
      <c r="FP141" s="492"/>
      <c r="FQ141" s="476"/>
      <c r="FR141" s="476"/>
      <c r="FS141" s="493"/>
      <c r="FT141" s="492"/>
      <c r="FU141" s="476"/>
      <c r="FV141" s="476"/>
      <c r="FW141" s="493"/>
      <c r="FX141" s="492"/>
      <c r="FY141" s="476"/>
      <c r="FZ141" s="476"/>
      <c r="GA141" s="493"/>
      <c r="GB141" s="492"/>
      <c r="GC141" s="476"/>
      <c r="GD141" s="476"/>
      <c r="GE141" s="493"/>
      <c r="GF141" s="492"/>
      <c r="GG141" s="476"/>
      <c r="GH141" s="476"/>
      <c r="GI141" s="493"/>
      <c r="GJ141" s="492"/>
      <c r="GK141" s="476"/>
      <c r="GL141" s="476"/>
      <c r="GM141" s="493"/>
      <c r="GN141" s="492"/>
      <c r="GO141" s="476"/>
      <c r="GP141" s="476"/>
      <c r="GQ141" s="493"/>
      <c r="GR141" s="492"/>
      <c r="GS141" s="476"/>
      <c r="GT141" s="476"/>
      <c r="GU141" s="493"/>
      <c r="GV141" s="492"/>
      <c r="GW141" s="476"/>
      <c r="GX141" s="476"/>
      <c r="GY141" s="493"/>
      <c r="GZ141" s="492"/>
      <c r="HA141" s="476"/>
      <c r="HB141" s="476"/>
      <c r="HC141" s="493"/>
      <c r="HD141" s="576"/>
      <c r="HE141" s="580"/>
      <c r="HF141" s="580"/>
      <c r="HG141" s="918"/>
      <c r="HH141" s="919"/>
      <c r="HI141" s="925"/>
      <c r="HJ141" s="925"/>
      <c r="HK141" s="918"/>
      <c r="HL141" s="919"/>
      <c r="HM141" s="925"/>
      <c r="HN141" s="925"/>
      <c r="HO141" s="918"/>
      <c r="HP141" s="919"/>
      <c r="HQ141" s="925"/>
      <c r="HR141" s="925"/>
      <c r="HS141" s="918"/>
      <c r="HT141" s="919"/>
      <c r="HU141" s="925"/>
      <c r="HV141" s="925"/>
      <c r="HW141" s="918"/>
      <c r="HY141" s="492"/>
      <c r="HZ141" s="476"/>
      <c r="IA141" s="476"/>
      <c r="IB141" s="493"/>
      <c r="IC141" s="492"/>
      <c r="ID141" s="476"/>
      <c r="IE141" s="476"/>
      <c r="IF141" s="493"/>
      <c r="IG141" s="492"/>
      <c r="IH141" s="476"/>
      <c r="II141" s="476"/>
      <c r="IJ141" s="493"/>
    </row>
    <row r="142" spans="1:244">
      <c r="A142" s="554" t="s">
        <v>23</v>
      </c>
      <c r="B142" s="574">
        <v>2057</v>
      </c>
      <c r="C142" s="575"/>
      <c r="D142" s="575"/>
      <c r="E142" s="575"/>
      <c r="F142" s="558"/>
      <c r="G142" s="575"/>
      <c r="H142" s="575"/>
      <c r="I142" s="575"/>
      <c r="J142" s="558"/>
      <c r="K142" s="563"/>
      <c r="L142" s="563"/>
      <c r="M142" s="563"/>
      <c r="N142" s="558"/>
      <c r="O142" s="575"/>
      <c r="P142" s="575"/>
      <c r="Q142" s="575"/>
      <c r="R142" s="558"/>
      <c r="S142" s="476"/>
      <c r="T142" s="476"/>
      <c r="U142" s="476"/>
      <c r="V142" s="493"/>
      <c r="W142" s="476"/>
      <c r="X142" s="476"/>
      <c r="Y142" s="476"/>
      <c r="Z142" s="493"/>
      <c r="AA142" s="507"/>
      <c r="AB142" s="507"/>
      <c r="AC142" s="507"/>
      <c r="AD142" s="507"/>
      <c r="AE142" s="476"/>
      <c r="AF142" s="476"/>
      <c r="AG142" s="476"/>
      <c r="AH142" s="493"/>
      <c r="AI142" s="476"/>
      <c r="AJ142" s="476"/>
      <c r="AK142" s="476"/>
      <c r="AL142" s="493"/>
      <c r="AM142" s="507"/>
      <c r="AN142" s="507"/>
      <c r="AO142" s="507"/>
      <c r="AP142" s="507"/>
      <c r="AQ142" s="476"/>
      <c r="AR142" s="476"/>
      <c r="AS142" s="476"/>
      <c r="AT142" s="493"/>
      <c r="AU142" s="575"/>
      <c r="AV142" s="575"/>
      <c r="AW142" s="575"/>
      <c r="AX142" s="558"/>
      <c r="AY142" s="575"/>
      <c r="AZ142" s="575"/>
      <c r="BA142" s="575"/>
      <c r="BB142" s="558"/>
      <c r="BC142" s="575"/>
      <c r="BD142" s="575"/>
      <c r="BE142" s="575"/>
      <c r="BF142" s="558"/>
      <c r="BG142" s="575"/>
      <c r="BH142" s="575"/>
      <c r="BI142" s="575"/>
      <c r="BJ142" s="558"/>
      <c r="BK142" s="575"/>
      <c r="BL142" s="575"/>
      <c r="BM142" s="575"/>
      <c r="BN142" s="558"/>
      <c r="BO142" s="575"/>
      <c r="BP142" s="575"/>
      <c r="BQ142" s="575"/>
      <c r="BR142" s="558"/>
      <c r="BS142" s="476"/>
      <c r="BT142" s="476"/>
      <c r="BU142" s="476"/>
      <c r="BV142" s="493"/>
      <c r="BW142" s="507"/>
      <c r="BX142" s="507"/>
      <c r="BY142" s="507"/>
      <c r="BZ142" s="507"/>
      <c r="CA142" s="476"/>
      <c r="CB142" s="476"/>
      <c r="CC142" s="476"/>
      <c r="CD142" s="493"/>
      <c r="CE142" s="476"/>
      <c r="CF142" s="476"/>
      <c r="CG142" s="476"/>
      <c r="CH142" s="493"/>
      <c r="CI142" s="507"/>
      <c r="CJ142" s="507"/>
      <c r="CK142" s="507"/>
      <c r="CL142" s="507"/>
      <c r="CM142" s="492">
        <f>+CM141</f>
        <v>1813843.6832386493</v>
      </c>
      <c r="CN142" s="476">
        <f>+CN141</f>
        <v>483691.64886363636</v>
      </c>
      <c r="CO142" s="476">
        <f t="shared" si="219"/>
        <v>1330152.0343750129</v>
      </c>
      <c r="CP142" s="493">
        <f>+CM$29*CO142+CN142</f>
        <v>633399.28901550698</v>
      </c>
      <c r="CQ142" s="492">
        <f>+CQ141</f>
        <v>7566509.8661931874</v>
      </c>
      <c r="CR142" s="476">
        <f>+CR141</f>
        <v>2017735.9643181816</v>
      </c>
      <c r="CS142" s="476">
        <f t="shared" si="220"/>
        <v>5548773.901875006</v>
      </c>
      <c r="CT142" s="493">
        <f>+CQ$29*CS142+CR142</f>
        <v>2642246.4150925591</v>
      </c>
      <c r="CU142" s="492">
        <f>+CU141</f>
        <v>2704781.4900000165</v>
      </c>
      <c r="CV142" s="476">
        <f>+CV141</f>
        <v>676195.37250000006</v>
      </c>
      <c r="CW142" s="476">
        <f t="shared" si="221"/>
        <v>2028586.1175000165</v>
      </c>
      <c r="CX142" s="493">
        <f>+CU$29*CW142+CV142</f>
        <v>904511.25869000785</v>
      </c>
      <c r="CY142" s="492">
        <f>+CY141</f>
        <v>3301.7573863636253</v>
      </c>
      <c r="CZ142" s="476">
        <f>+CZ141</f>
        <v>733.72386363636497</v>
      </c>
      <c r="DA142" s="476">
        <f t="shared" si="169"/>
        <v>2568.0335227272603</v>
      </c>
      <c r="DB142" s="493">
        <f>+CY$29*DA142+CZ142</f>
        <v>1022.7541613639728</v>
      </c>
      <c r="DC142" s="492">
        <f>+DC141</f>
        <v>189255.35909091099</v>
      </c>
      <c r="DD142" s="476">
        <f>+DD141</f>
        <v>44530.672727272722</v>
      </c>
      <c r="DE142" s="476">
        <f t="shared" si="170"/>
        <v>144724.68636363826</v>
      </c>
      <c r="DF142" s="493">
        <f>+DC$29*DE142+DD142</f>
        <v>60819.330495179747</v>
      </c>
      <c r="DG142" s="492">
        <f>+DG141</f>
        <v>110877.63443181738</v>
      </c>
      <c r="DH142" s="476">
        <f>+DH141</f>
        <v>24639.474318181816</v>
      </c>
      <c r="DI142" s="476">
        <f t="shared" si="171"/>
        <v>86238.16011363556</v>
      </c>
      <c r="DJ142" s="493">
        <f>+DG$29*DI142+DH142</f>
        <v>34345.51626527225</v>
      </c>
      <c r="DK142" s="492">
        <f>+DK141</f>
        <v>2290245.0369318277</v>
      </c>
      <c r="DL142" s="476">
        <f>+DL141</f>
        <v>549658.80886363634</v>
      </c>
      <c r="DM142" s="476">
        <f t="shared" si="172"/>
        <v>1740586.2280681913</v>
      </c>
      <c r="DN142" s="493">
        <f>+DK$29*DM142+DL142</f>
        <v>745560.51780427678</v>
      </c>
      <c r="DO142" s="492">
        <f>+DO141</f>
        <v>101228.96996212099</v>
      </c>
      <c r="DP142" s="476">
        <f>+DP141</f>
        <v>19592.703863636354</v>
      </c>
      <c r="DQ142" s="476">
        <f t="shared" si="148"/>
        <v>81636.26609848463</v>
      </c>
      <c r="DR142" s="493">
        <f>+DO$29*DQ142+DP142</f>
        <v>28780.805999763023</v>
      </c>
      <c r="DS142" s="492">
        <f>+DS141</f>
        <v>45626.64000000005</v>
      </c>
      <c r="DT142" s="476">
        <f>+DT141</f>
        <v>8295.7527272726966</v>
      </c>
      <c r="DU142" s="476">
        <f t="shared" si="173"/>
        <v>37330.887272727356</v>
      </c>
      <c r="DV142" s="493">
        <f>+DS$29*DU142+DT142</f>
        <v>12497.316829681062</v>
      </c>
      <c r="DW142" s="492">
        <f>+DW141</f>
        <v>6414.2578977272278</v>
      </c>
      <c r="DX142" s="476">
        <f>+DX141</f>
        <v>1221.7634090909089</v>
      </c>
      <c r="DY142" s="476">
        <f t="shared" si="174"/>
        <v>5192.4944886363191</v>
      </c>
      <c r="DZ142" s="493">
        <f>+DW$29*DY142+DX142</f>
        <v>1806.1748720712194</v>
      </c>
      <c r="EA142" s="492">
        <f>+EA141</f>
        <v>-42128.451079545834</v>
      </c>
      <c r="EB142" s="476">
        <f>+EB141</f>
        <v>-7120.3015909091364</v>
      </c>
      <c r="EC142" s="476">
        <f t="shared" si="175"/>
        <v>-35008.1494886367</v>
      </c>
      <c r="ED142" s="493">
        <f>+EA$29*EC142+EB142</f>
        <v>-11060.443251851115</v>
      </c>
      <c r="EE142" s="576">
        <f>+EE141</f>
        <v>1427674.5268181902</v>
      </c>
      <c r="EF142" s="580">
        <f>+EF141</f>
        <v>192495.44181818186</v>
      </c>
      <c r="EG142" s="580">
        <f t="shared" si="176"/>
        <v>1235179.0850000083</v>
      </c>
      <c r="EH142" s="493">
        <f>+EE$29*EG142+EF142</f>
        <v>331513.94587000087</v>
      </c>
      <c r="EI142" s="576">
        <f>+EI141</f>
        <v>60286.912462121072</v>
      </c>
      <c r="EJ142" s="580">
        <f>+EJ141</f>
        <v>7696.2015909090906</v>
      </c>
      <c r="EK142" s="580">
        <f t="shared" si="177"/>
        <v>52590.710871211981</v>
      </c>
      <c r="EL142" s="493">
        <f>+EI$29*EK142+EJ142</f>
        <v>13615.247696144572</v>
      </c>
      <c r="EM142" s="576">
        <f>+EM141</f>
        <v>2090211.6709090862</v>
      </c>
      <c r="EN142" s="580">
        <f>+EN141</f>
        <v>261276.45886363636</v>
      </c>
      <c r="EO142" s="580">
        <f t="shared" si="178"/>
        <v>1828935.2120454498</v>
      </c>
      <c r="EP142" s="493">
        <f>+EM$29*EO142+EN142</f>
        <v>467121.78143583087</v>
      </c>
      <c r="EQ142" s="576">
        <f>+EQ141</f>
        <v>4254930.0502272584</v>
      </c>
      <c r="ER142" s="580">
        <f>+ER141</f>
        <v>500580.00590909086</v>
      </c>
      <c r="ES142" s="580">
        <f t="shared" si="179"/>
        <v>3754350.0443181675</v>
      </c>
      <c r="ET142" s="493">
        <f>+EQ$29*ES142+ER142</f>
        <v>923129.36185773741</v>
      </c>
      <c r="EU142" s="576">
        <f>+EU141</f>
        <v>5497933.2413636297</v>
      </c>
      <c r="EV142" s="580">
        <f>+EV141</f>
        <v>646815.67545454553</v>
      </c>
      <c r="EW142" s="580">
        <f t="shared" si="195"/>
        <v>4851117.5659090839</v>
      </c>
      <c r="EX142" s="493">
        <f>+EU$29*EW142+EV142</f>
        <v>1192805.4150656059</v>
      </c>
      <c r="EY142" s="582">
        <f t="shared" si="196"/>
        <v>7982114.6878991518</v>
      </c>
      <c r="EZ142" s="579">
        <f>+EY142</f>
        <v>7982114.6878991518</v>
      </c>
      <c r="FA142" s="553"/>
      <c r="FD142" s="492"/>
      <c r="FE142" s="476"/>
      <c r="FF142" s="476"/>
      <c r="FG142" s="493"/>
      <c r="FH142" s="492"/>
      <c r="FI142" s="476"/>
      <c r="FJ142" s="476"/>
      <c r="FK142" s="493"/>
      <c r="FL142" s="492"/>
      <c r="FM142" s="476"/>
      <c r="FN142" s="476"/>
      <c r="FO142" s="493"/>
      <c r="FP142" s="492"/>
      <c r="FQ142" s="476"/>
      <c r="FR142" s="476"/>
      <c r="FS142" s="493"/>
      <c r="FT142" s="492"/>
      <c r="FU142" s="476"/>
      <c r="FV142" s="476"/>
      <c r="FW142" s="493"/>
      <c r="FX142" s="492"/>
      <c r="FY142" s="476"/>
      <c r="FZ142" s="476"/>
      <c r="GA142" s="493"/>
      <c r="GB142" s="492"/>
      <c r="GC142" s="476"/>
      <c r="GD142" s="476"/>
      <c r="GE142" s="493"/>
      <c r="GF142" s="492"/>
      <c r="GG142" s="476"/>
      <c r="GH142" s="476"/>
      <c r="GI142" s="493"/>
      <c r="GJ142" s="492"/>
      <c r="GK142" s="476"/>
      <c r="GL142" s="476"/>
      <c r="GM142" s="493"/>
      <c r="GN142" s="492"/>
      <c r="GO142" s="476"/>
      <c r="GP142" s="476"/>
      <c r="GQ142" s="493"/>
      <c r="GR142" s="492"/>
      <c r="GS142" s="476"/>
      <c r="GT142" s="476"/>
      <c r="GU142" s="493"/>
      <c r="GV142" s="492"/>
      <c r="GW142" s="476"/>
      <c r="GX142" s="476"/>
      <c r="GY142" s="493"/>
      <c r="GZ142" s="492"/>
      <c r="HA142" s="476"/>
      <c r="HB142" s="476"/>
      <c r="HC142" s="493"/>
      <c r="HD142" s="576"/>
      <c r="HE142" s="580"/>
      <c r="HF142" s="580"/>
      <c r="HG142" s="918"/>
      <c r="HH142" s="919"/>
      <c r="HI142" s="925"/>
      <c r="HJ142" s="925"/>
      <c r="HK142" s="918"/>
      <c r="HL142" s="919"/>
      <c r="HM142" s="925"/>
      <c r="HN142" s="925"/>
      <c r="HO142" s="918"/>
      <c r="HP142" s="919"/>
      <c r="HQ142" s="925"/>
      <c r="HR142" s="925"/>
      <c r="HS142" s="918"/>
      <c r="HT142" s="919"/>
      <c r="HU142" s="925"/>
      <c r="HV142" s="925"/>
      <c r="HW142" s="918"/>
      <c r="HY142" s="492"/>
      <c r="HZ142" s="476"/>
      <c r="IA142" s="476"/>
      <c r="IB142" s="493"/>
      <c r="IC142" s="492"/>
      <c r="ID142" s="476"/>
      <c r="IE142" s="476"/>
      <c r="IF142" s="493"/>
      <c r="IG142" s="492"/>
      <c r="IH142" s="476"/>
      <c r="II142" s="476"/>
      <c r="IJ142" s="493"/>
    </row>
    <row r="143" spans="1:244">
      <c r="A143" s="554" t="s">
        <v>24</v>
      </c>
      <c r="B143" s="574">
        <v>2058</v>
      </c>
      <c r="C143" s="575"/>
      <c r="D143" s="575"/>
      <c r="E143" s="575"/>
      <c r="F143" s="558"/>
      <c r="G143" s="575"/>
      <c r="H143" s="575"/>
      <c r="I143" s="575"/>
      <c r="J143" s="558"/>
      <c r="K143" s="563"/>
      <c r="L143" s="563"/>
      <c r="M143" s="563"/>
      <c r="N143" s="558"/>
      <c r="O143" s="575"/>
      <c r="P143" s="575"/>
      <c r="Q143" s="575"/>
      <c r="R143" s="558"/>
      <c r="S143" s="476"/>
      <c r="T143" s="476"/>
      <c r="U143" s="476"/>
      <c r="V143" s="493"/>
      <c r="W143" s="476"/>
      <c r="X143" s="476"/>
      <c r="Y143" s="476"/>
      <c r="Z143" s="493"/>
      <c r="AA143" s="507"/>
      <c r="AB143" s="507"/>
      <c r="AC143" s="507"/>
      <c r="AD143" s="507"/>
      <c r="AE143" s="476"/>
      <c r="AF143" s="476"/>
      <c r="AG143" s="476"/>
      <c r="AH143" s="493"/>
      <c r="AI143" s="476"/>
      <c r="AJ143" s="476"/>
      <c r="AK143" s="476"/>
      <c r="AL143" s="493"/>
      <c r="AM143" s="507"/>
      <c r="AN143" s="507"/>
      <c r="AO143" s="507"/>
      <c r="AP143" s="507"/>
      <c r="AQ143" s="476"/>
      <c r="AR143" s="476"/>
      <c r="AS143" s="476"/>
      <c r="AT143" s="493"/>
      <c r="AU143" s="575"/>
      <c r="AV143" s="575"/>
      <c r="AW143" s="575"/>
      <c r="AX143" s="558"/>
      <c r="AY143" s="575"/>
      <c r="AZ143" s="575"/>
      <c r="BA143" s="575"/>
      <c r="BB143" s="558"/>
      <c r="BC143" s="575"/>
      <c r="BD143" s="575"/>
      <c r="BE143" s="575"/>
      <c r="BF143" s="558"/>
      <c r="BG143" s="575"/>
      <c r="BH143" s="575"/>
      <c r="BI143" s="575"/>
      <c r="BJ143" s="558"/>
      <c r="BK143" s="575"/>
      <c r="BL143" s="575"/>
      <c r="BM143" s="575"/>
      <c r="BN143" s="558"/>
      <c r="BO143" s="575"/>
      <c r="BP143" s="575"/>
      <c r="BQ143" s="575"/>
      <c r="BR143" s="558"/>
      <c r="BS143" s="476"/>
      <c r="BT143" s="476"/>
      <c r="BU143" s="476"/>
      <c r="BV143" s="493"/>
      <c r="BW143" s="507"/>
      <c r="BX143" s="507"/>
      <c r="BY143" s="507"/>
      <c r="BZ143" s="507"/>
      <c r="CA143" s="476"/>
      <c r="CB143" s="476"/>
      <c r="CC143" s="476"/>
      <c r="CD143" s="493"/>
      <c r="CE143" s="476"/>
      <c r="CF143" s="476"/>
      <c r="CG143" s="476"/>
      <c r="CH143" s="493"/>
      <c r="CI143" s="507"/>
      <c r="CJ143" s="507"/>
      <c r="CK143" s="507"/>
      <c r="CL143" s="507"/>
      <c r="CM143" s="492">
        <f>+CO142</f>
        <v>1330152.0343750129</v>
      </c>
      <c r="CN143" s="476">
        <f>+CM$31</f>
        <v>483691.64886363636</v>
      </c>
      <c r="CO143" s="476">
        <f t="shared" ref="CO143:CO144" si="222">+CM143-CN143</f>
        <v>846460.38551137643</v>
      </c>
      <c r="CP143" s="493">
        <f>+CM$28*CO143+CN143</f>
        <v>578960.14714210003</v>
      </c>
      <c r="CQ143" s="492">
        <f>+CS142</f>
        <v>5548773.901875006</v>
      </c>
      <c r="CR143" s="476">
        <f>+CQ$31</f>
        <v>2017735.9643181816</v>
      </c>
      <c r="CS143" s="476">
        <f t="shared" ref="CS143:CS144" si="223">+CQ143-CR143</f>
        <v>3531037.9375568246</v>
      </c>
      <c r="CT143" s="493">
        <f>+CQ$28*CS143+CR143</f>
        <v>2415151.7057200582</v>
      </c>
      <c r="CU143" s="492">
        <f>+CW142</f>
        <v>2028586.1175000165</v>
      </c>
      <c r="CV143" s="476">
        <f>+CU$31</f>
        <v>676195.37250000006</v>
      </c>
      <c r="CW143" s="476">
        <f t="shared" ref="CW143:CW144" si="224">+CU143-CV143</f>
        <v>1352390.7450000164</v>
      </c>
      <c r="CX143" s="493">
        <f>+CU$28*CW143+CV143</f>
        <v>828405.96329333913</v>
      </c>
      <c r="CY143" s="492">
        <f>+DA142</f>
        <v>2568.0335227272603</v>
      </c>
      <c r="CZ143" s="476">
        <f>+CY$31</f>
        <v>733.72386363636497</v>
      </c>
      <c r="DA143" s="476">
        <f t="shared" si="169"/>
        <v>1834.3096590908954</v>
      </c>
      <c r="DB143" s="493">
        <f>+CY$28*DA143+CZ143</f>
        <v>940.17407629894149</v>
      </c>
      <c r="DC143" s="492">
        <f>+DE142</f>
        <v>144724.68636363826</v>
      </c>
      <c r="DD143" s="476">
        <f>+DC$31</f>
        <v>44530.672727272722</v>
      </c>
      <c r="DE143" s="476">
        <f t="shared" si="170"/>
        <v>100194.01363636553</v>
      </c>
      <c r="DF143" s="493">
        <f>+DC$28*DE143+DD143</f>
        <v>55807.435797362268</v>
      </c>
      <c r="DG143" s="492">
        <f>+DI142</f>
        <v>86238.16011363556</v>
      </c>
      <c r="DH143" s="476">
        <f>+DG$31</f>
        <v>24639.474318181816</v>
      </c>
      <c r="DI143" s="476">
        <f t="shared" si="171"/>
        <v>61598.685795453741</v>
      </c>
      <c r="DJ143" s="493">
        <f>+DG$28*DI143+DH143</f>
        <v>31572.361423246384</v>
      </c>
      <c r="DK143" s="492">
        <f>+DM142</f>
        <v>1740586.2280681913</v>
      </c>
      <c r="DL143" s="476">
        <f>+DK$31</f>
        <v>549658.80886363634</v>
      </c>
      <c r="DM143" s="476">
        <f t="shared" si="172"/>
        <v>1190927.419204555</v>
      </c>
      <c r="DN143" s="493">
        <f>+DK$28*DM143+DL143</f>
        <v>683696.82024407492</v>
      </c>
      <c r="DO143" s="492">
        <f>+DQ142</f>
        <v>81636.26609848463</v>
      </c>
      <c r="DP143" s="476">
        <f>+DO$31</f>
        <v>19592.703863636354</v>
      </c>
      <c r="DQ143" s="476">
        <f t="shared" si="148"/>
        <v>62043.562234848272</v>
      </c>
      <c r="DR143" s="493">
        <f>+DO$28*DQ143+DP143</f>
        <v>26575.661487092617</v>
      </c>
      <c r="DS143" s="492">
        <f>+DU142</f>
        <v>37330.887272727356</v>
      </c>
      <c r="DT143" s="476">
        <f>+DS$31</f>
        <v>8295.7527272726966</v>
      </c>
      <c r="DU143" s="476">
        <f t="shared" si="173"/>
        <v>29035.134545454661</v>
      </c>
      <c r="DV143" s="493">
        <f>+DS$28*DU143+DT143</f>
        <v>11563.635918034764</v>
      </c>
      <c r="DW143" s="492">
        <f>+DY142</f>
        <v>5192.4944886363191</v>
      </c>
      <c r="DX143" s="476">
        <f>+DW$31</f>
        <v>1221.7634090909089</v>
      </c>
      <c r="DY143" s="476">
        <f t="shared" si="174"/>
        <v>3970.7310795454105</v>
      </c>
      <c r="DZ143" s="493">
        <f>+DW$28*DY143+DX143</f>
        <v>1668.6662925464393</v>
      </c>
      <c r="EA143" s="492">
        <f>+EC142</f>
        <v>-35008.1494886367</v>
      </c>
      <c r="EB143" s="476">
        <f>+EA$31</f>
        <v>-7120.3015909091364</v>
      </c>
      <c r="EC143" s="476">
        <f t="shared" si="175"/>
        <v>-27887.847897727563</v>
      </c>
      <c r="ED143" s="493">
        <f>+EA$28*EC143+EB143</f>
        <v>-10259.05850725275</v>
      </c>
      <c r="EE143" s="576">
        <f>+EG142</f>
        <v>1235179.0850000083</v>
      </c>
      <c r="EF143" s="580">
        <f>+EE$31</f>
        <v>192495.44181818186</v>
      </c>
      <c r="EG143" s="580">
        <f t="shared" si="176"/>
        <v>1042683.6431818265</v>
      </c>
      <c r="EH143" s="493">
        <f>+EE$28*EG143+EF143</f>
        <v>309848.72445932793</v>
      </c>
      <c r="EI143" s="576">
        <f>+EK142</f>
        <v>52590.710871211981</v>
      </c>
      <c r="EJ143" s="580">
        <f>+EI$31</f>
        <v>7696.2015909090906</v>
      </c>
      <c r="EK143" s="580">
        <f t="shared" si="177"/>
        <v>44894.509280302889</v>
      </c>
      <c r="EL143" s="493">
        <f>+EI$28*EK143+EJ143</f>
        <v>12749.045827085718</v>
      </c>
      <c r="EM143" s="576">
        <f>+EO142</f>
        <v>1828935.2120454498</v>
      </c>
      <c r="EN143" s="580">
        <f>+EM$31</f>
        <v>261276.45886363636</v>
      </c>
      <c r="EO143" s="580">
        <f t="shared" si="178"/>
        <v>1567658.7531818133</v>
      </c>
      <c r="EP143" s="493">
        <f>+EM$28*EO143+EN143</f>
        <v>437715.30678266019</v>
      </c>
      <c r="EQ143" s="576">
        <f>+ES142</f>
        <v>3754350.0443181675</v>
      </c>
      <c r="ER143" s="580">
        <f>+EQ$31</f>
        <v>500580.00590909086</v>
      </c>
      <c r="ES143" s="580">
        <f t="shared" si="179"/>
        <v>3253770.0384090766</v>
      </c>
      <c r="ET143" s="493">
        <f>+EQ$28*ES143+ER143</f>
        <v>866789.4477312509</v>
      </c>
      <c r="EU143" s="576">
        <f>+EW142</f>
        <v>4851117.5659090839</v>
      </c>
      <c r="EV143" s="580">
        <f>+EU$31</f>
        <v>646815.67545454553</v>
      </c>
      <c r="EW143" s="580">
        <f t="shared" si="195"/>
        <v>4204301.8904545382</v>
      </c>
      <c r="EX143" s="493">
        <f>+EU$28*EW143+EV143</f>
        <v>1120006.7831174643</v>
      </c>
      <c r="EY143" s="582">
        <f t="shared" si="196"/>
        <v>7371192.8208046909</v>
      </c>
      <c r="EZ143" s="557"/>
      <c r="FA143" s="578">
        <f>+EY143</f>
        <v>7371192.8208046909</v>
      </c>
      <c r="FD143" s="492"/>
      <c r="FE143" s="476"/>
      <c r="FF143" s="476"/>
      <c r="FG143" s="493"/>
      <c r="FH143" s="492"/>
      <c r="FI143" s="476"/>
      <c r="FJ143" s="476"/>
      <c r="FK143" s="493"/>
      <c r="FL143" s="492"/>
      <c r="FM143" s="476"/>
      <c r="FN143" s="476"/>
      <c r="FO143" s="493"/>
      <c r="FP143" s="492"/>
      <c r="FQ143" s="476"/>
      <c r="FR143" s="476"/>
      <c r="FS143" s="493"/>
      <c r="FT143" s="492"/>
      <c r="FU143" s="476"/>
      <c r="FV143" s="476"/>
      <c r="FW143" s="493"/>
      <c r="FX143" s="492"/>
      <c r="FY143" s="476"/>
      <c r="FZ143" s="476"/>
      <c r="GA143" s="493"/>
      <c r="GB143" s="492"/>
      <c r="GC143" s="476"/>
      <c r="GD143" s="476"/>
      <c r="GE143" s="493"/>
      <c r="GF143" s="492"/>
      <c r="GG143" s="476"/>
      <c r="GH143" s="476"/>
      <c r="GI143" s="493"/>
      <c r="GJ143" s="492"/>
      <c r="GK143" s="476"/>
      <c r="GL143" s="476"/>
      <c r="GM143" s="493"/>
      <c r="GN143" s="492"/>
      <c r="GO143" s="476"/>
      <c r="GP143" s="476"/>
      <c r="GQ143" s="493"/>
      <c r="GR143" s="492"/>
      <c r="GS143" s="476"/>
      <c r="GT143" s="476"/>
      <c r="GU143" s="493"/>
      <c r="GV143" s="492"/>
      <c r="GW143" s="476"/>
      <c r="GX143" s="476"/>
      <c r="GY143" s="493"/>
      <c r="GZ143" s="492"/>
      <c r="HA143" s="476"/>
      <c r="HB143" s="476"/>
      <c r="HC143" s="493"/>
      <c r="HD143" s="576"/>
      <c r="HE143" s="580"/>
      <c r="HF143" s="580"/>
      <c r="HG143" s="918"/>
      <c r="HH143" s="919"/>
      <c r="HI143" s="925"/>
      <c r="HJ143" s="925"/>
      <c r="HK143" s="918"/>
      <c r="HL143" s="919"/>
      <c r="HM143" s="925"/>
      <c r="HN143" s="925"/>
      <c r="HO143" s="918"/>
      <c r="HP143" s="919"/>
      <c r="HQ143" s="925"/>
      <c r="HR143" s="925"/>
      <c r="HS143" s="918"/>
      <c r="HT143" s="919"/>
      <c r="HU143" s="925"/>
      <c r="HV143" s="925"/>
      <c r="HW143" s="918"/>
      <c r="HY143" s="492"/>
      <c r="HZ143" s="476"/>
      <c r="IA143" s="476"/>
      <c r="IB143" s="493"/>
      <c r="IC143" s="492"/>
      <c r="ID143" s="476"/>
      <c r="IE143" s="476"/>
      <c r="IF143" s="493"/>
      <c r="IG143" s="492"/>
      <c r="IH143" s="476"/>
      <c r="II143" s="476"/>
      <c r="IJ143" s="493"/>
    </row>
    <row r="144" spans="1:244">
      <c r="A144" s="554" t="s">
        <v>23</v>
      </c>
      <c r="B144" s="574">
        <v>2058</v>
      </c>
      <c r="C144" s="575"/>
      <c r="D144" s="575"/>
      <c r="E144" s="575"/>
      <c r="F144" s="558"/>
      <c r="G144" s="575"/>
      <c r="H144" s="575"/>
      <c r="I144" s="575"/>
      <c r="J144" s="558"/>
      <c r="K144" s="563"/>
      <c r="L144" s="563"/>
      <c r="M144" s="563"/>
      <c r="N144" s="558"/>
      <c r="O144" s="575"/>
      <c r="P144" s="575"/>
      <c r="Q144" s="575"/>
      <c r="R144" s="558"/>
      <c r="S144" s="476"/>
      <c r="T144" s="476"/>
      <c r="U144" s="476"/>
      <c r="V144" s="493"/>
      <c r="W144" s="476"/>
      <c r="X144" s="476"/>
      <c r="Y144" s="476"/>
      <c r="Z144" s="493"/>
      <c r="AA144" s="507"/>
      <c r="AB144" s="507"/>
      <c r="AC144" s="507"/>
      <c r="AD144" s="507"/>
      <c r="AE144" s="476"/>
      <c r="AF144" s="476"/>
      <c r="AG144" s="476"/>
      <c r="AH144" s="493"/>
      <c r="AI144" s="476"/>
      <c r="AJ144" s="476"/>
      <c r="AK144" s="476"/>
      <c r="AL144" s="493"/>
      <c r="AM144" s="507"/>
      <c r="AN144" s="507"/>
      <c r="AO144" s="507"/>
      <c r="AP144" s="507"/>
      <c r="AQ144" s="476"/>
      <c r="AR144" s="476"/>
      <c r="AS144" s="476"/>
      <c r="AT144" s="493"/>
      <c r="AU144" s="575"/>
      <c r="AV144" s="575"/>
      <c r="AW144" s="575"/>
      <c r="AX144" s="558"/>
      <c r="AY144" s="575"/>
      <c r="AZ144" s="575"/>
      <c r="BA144" s="575"/>
      <c r="BB144" s="558"/>
      <c r="BC144" s="575"/>
      <c r="BD144" s="575"/>
      <c r="BE144" s="575"/>
      <c r="BF144" s="558"/>
      <c r="BG144" s="575"/>
      <c r="BH144" s="575"/>
      <c r="BI144" s="575"/>
      <c r="BJ144" s="558"/>
      <c r="BK144" s="575"/>
      <c r="BL144" s="575"/>
      <c r="BM144" s="575"/>
      <c r="BN144" s="558"/>
      <c r="BO144" s="575"/>
      <c r="BP144" s="575"/>
      <c r="BQ144" s="575"/>
      <c r="BR144" s="558"/>
      <c r="BS144" s="476"/>
      <c r="BT144" s="476"/>
      <c r="BU144" s="476"/>
      <c r="BV144" s="493"/>
      <c r="BW144" s="507"/>
      <c r="BX144" s="507"/>
      <c r="BY144" s="507"/>
      <c r="BZ144" s="507"/>
      <c r="CA144" s="476"/>
      <c r="CB144" s="476"/>
      <c r="CC144" s="476"/>
      <c r="CD144" s="493"/>
      <c r="CE144" s="476"/>
      <c r="CF144" s="476"/>
      <c r="CG144" s="476"/>
      <c r="CH144" s="493"/>
      <c r="CI144" s="507"/>
      <c r="CJ144" s="507"/>
      <c r="CK144" s="507"/>
      <c r="CL144" s="507"/>
      <c r="CM144" s="492">
        <f>+CM143</f>
        <v>1330152.0343750129</v>
      </c>
      <c r="CN144" s="476">
        <f>+CN143</f>
        <v>483691.64886363636</v>
      </c>
      <c r="CO144" s="476">
        <f t="shared" si="222"/>
        <v>846460.38551137643</v>
      </c>
      <c r="CP144" s="493">
        <f>+CM$29*CO144+CN144</f>
        <v>578960.14714210003</v>
      </c>
      <c r="CQ144" s="492">
        <f>+CQ143</f>
        <v>5548773.901875006</v>
      </c>
      <c r="CR144" s="476">
        <f>+CR143</f>
        <v>2017735.9643181816</v>
      </c>
      <c r="CS144" s="476">
        <f t="shared" si="223"/>
        <v>3531037.9375568246</v>
      </c>
      <c r="CT144" s="493">
        <f>+CQ$29*CS144+CR144</f>
        <v>2415151.7057200582</v>
      </c>
      <c r="CU144" s="492">
        <f>+CU143</f>
        <v>2028586.1175000165</v>
      </c>
      <c r="CV144" s="476">
        <f>+CV143</f>
        <v>676195.37250000006</v>
      </c>
      <c r="CW144" s="476">
        <f t="shared" si="224"/>
        <v>1352390.7450000164</v>
      </c>
      <c r="CX144" s="493">
        <f>+CU$29*CW144+CV144</f>
        <v>828405.96329333913</v>
      </c>
      <c r="CY144" s="492">
        <f>+CY143</f>
        <v>2568.0335227272603</v>
      </c>
      <c r="CZ144" s="476">
        <f>+CZ143</f>
        <v>733.72386363636497</v>
      </c>
      <c r="DA144" s="476">
        <f t="shared" si="169"/>
        <v>1834.3096590908954</v>
      </c>
      <c r="DB144" s="493">
        <f>+CY$29*DA144+CZ144</f>
        <v>940.17407629894149</v>
      </c>
      <c r="DC144" s="492">
        <f>+DC143</f>
        <v>144724.68636363826</v>
      </c>
      <c r="DD144" s="476">
        <f>+DD143</f>
        <v>44530.672727272722</v>
      </c>
      <c r="DE144" s="476">
        <f t="shared" si="170"/>
        <v>100194.01363636553</v>
      </c>
      <c r="DF144" s="493">
        <f>+DC$29*DE144+DD144</f>
        <v>55807.435797362268</v>
      </c>
      <c r="DG144" s="492">
        <f>+DG143</f>
        <v>86238.16011363556</v>
      </c>
      <c r="DH144" s="476">
        <f>+DH143</f>
        <v>24639.474318181816</v>
      </c>
      <c r="DI144" s="476">
        <f t="shared" si="171"/>
        <v>61598.685795453741</v>
      </c>
      <c r="DJ144" s="493">
        <f>+DG$29*DI144+DH144</f>
        <v>31572.361423246384</v>
      </c>
      <c r="DK144" s="492">
        <f>+DK143</f>
        <v>1740586.2280681913</v>
      </c>
      <c r="DL144" s="476">
        <f>+DL143</f>
        <v>549658.80886363634</v>
      </c>
      <c r="DM144" s="476">
        <f t="shared" si="172"/>
        <v>1190927.419204555</v>
      </c>
      <c r="DN144" s="493">
        <f>+DK$29*DM144+DL144</f>
        <v>683696.82024407492</v>
      </c>
      <c r="DO144" s="492">
        <f>+DO143</f>
        <v>81636.26609848463</v>
      </c>
      <c r="DP144" s="476">
        <f>+DP143</f>
        <v>19592.703863636354</v>
      </c>
      <c r="DQ144" s="476">
        <f t="shared" si="148"/>
        <v>62043.562234848272</v>
      </c>
      <c r="DR144" s="493">
        <f>+DO$29*DQ144+DP144</f>
        <v>26575.661487092617</v>
      </c>
      <c r="DS144" s="492">
        <f>+DS143</f>
        <v>37330.887272727356</v>
      </c>
      <c r="DT144" s="476">
        <f>+DT143</f>
        <v>8295.7527272726966</v>
      </c>
      <c r="DU144" s="476">
        <f t="shared" si="173"/>
        <v>29035.134545454661</v>
      </c>
      <c r="DV144" s="493">
        <f>+DS$29*DU144+DT144</f>
        <v>11563.635918034764</v>
      </c>
      <c r="DW144" s="492">
        <f>+DW143</f>
        <v>5192.4944886363191</v>
      </c>
      <c r="DX144" s="476">
        <f>+DX143</f>
        <v>1221.7634090909089</v>
      </c>
      <c r="DY144" s="476">
        <f t="shared" si="174"/>
        <v>3970.7310795454105</v>
      </c>
      <c r="DZ144" s="493">
        <f>+DW$29*DY144+DX144</f>
        <v>1668.6662925464393</v>
      </c>
      <c r="EA144" s="492">
        <f>+EA143</f>
        <v>-35008.1494886367</v>
      </c>
      <c r="EB144" s="476">
        <f>+EB143</f>
        <v>-7120.3015909091364</v>
      </c>
      <c r="EC144" s="476">
        <f t="shared" si="175"/>
        <v>-27887.847897727563</v>
      </c>
      <c r="ED144" s="493">
        <f>+EA$29*EC144+EB144</f>
        <v>-10259.05850725275</v>
      </c>
      <c r="EE144" s="576">
        <f>+EE143</f>
        <v>1235179.0850000083</v>
      </c>
      <c r="EF144" s="580">
        <f>+EF143</f>
        <v>192495.44181818186</v>
      </c>
      <c r="EG144" s="580">
        <f t="shared" si="176"/>
        <v>1042683.6431818265</v>
      </c>
      <c r="EH144" s="493">
        <f>+EE$29*EG144+EF144</f>
        <v>309848.72445932793</v>
      </c>
      <c r="EI144" s="576">
        <f>+EI143</f>
        <v>52590.710871211981</v>
      </c>
      <c r="EJ144" s="580">
        <f>+EJ143</f>
        <v>7696.2015909090906</v>
      </c>
      <c r="EK144" s="580">
        <f t="shared" si="177"/>
        <v>44894.509280302889</v>
      </c>
      <c r="EL144" s="493">
        <f>+EI$29*EK144+EJ144</f>
        <v>12749.045827085718</v>
      </c>
      <c r="EM144" s="576">
        <f>+EM143</f>
        <v>1828935.2120454498</v>
      </c>
      <c r="EN144" s="580">
        <f>+EN143</f>
        <v>261276.45886363636</v>
      </c>
      <c r="EO144" s="580">
        <f t="shared" si="178"/>
        <v>1567658.7531818133</v>
      </c>
      <c r="EP144" s="493">
        <f>+EM$29*EO144+EN144</f>
        <v>437715.30678266019</v>
      </c>
      <c r="EQ144" s="576">
        <f>+EQ143</f>
        <v>3754350.0443181675</v>
      </c>
      <c r="ER144" s="580">
        <f>+ER143</f>
        <v>500580.00590909086</v>
      </c>
      <c r="ES144" s="580">
        <f t="shared" si="179"/>
        <v>3253770.0384090766</v>
      </c>
      <c r="ET144" s="493">
        <f>+EQ$29*ES144+ER144</f>
        <v>866789.4477312509</v>
      </c>
      <c r="EU144" s="576">
        <f>+EU143</f>
        <v>4851117.5659090839</v>
      </c>
      <c r="EV144" s="580">
        <f>+EV143</f>
        <v>646815.67545454553</v>
      </c>
      <c r="EW144" s="580">
        <f t="shared" si="195"/>
        <v>4204301.8904545382</v>
      </c>
      <c r="EX144" s="493">
        <f>+EU$29*EW144+EV144</f>
        <v>1120006.7831174643</v>
      </c>
      <c r="EY144" s="582">
        <f t="shared" si="196"/>
        <v>7371192.8208046909</v>
      </c>
      <c r="EZ144" s="579">
        <f>+EY144</f>
        <v>7371192.8208046909</v>
      </c>
      <c r="FA144" s="553"/>
      <c r="FD144" s="492"/>
      <c r="FE144" s="476"/>
      <c r="FF144" s="476"/>
      <c r="FG144" s="493"/>
      <c r="FH144" s="492"/>
      <c r="FI144" s="476"/>
      <c r="FJ144" s="476"/>
      <c r="FK144" s="493"/>
      <c r="FL144" s="492"/>
      <c r="FM144" s="476"/>
      <c r="FN144" s="476"/>
      <c r="FO144" s="493"/>
      <c r="FP144" s="492"/>
      <c r="FQ144" s="476"/>
      <c r="FR144" s="476"/>
      <c r="FS144" s="493"/>
      <c r="FT144" s="492"/>
      <c r="FU144" s="476"/>
      <c r="FV144" s="476"/>
      <c r="FW144" s="493"/>
      <c r="FX144" s="492"/>
      <c r="FY144" s="476"/>
      <c r="FZ144" s="476"/>
      <c r="GA144" s="493"/>
      <c r="GB144" s="492"/>
      <c r="GC144" s="476"/>
      <c r="GD144" s="476"/>
      <c r="GE144" s="493"/>
      <c r="GF144" s="492"/>
      <c r="GG144" s="476"/>
      <c r="GH144" s="476"/>
      <c r="GI144" s="493"/>
      <c r="GJ144" s="492"/>
      <c r="GK144" s="476"/>
      <c r="GL144" s="476"/>
      <c r="GM144" s="493"/>
      <c r="GN144" s="492"/>
      <c r="GO144" s="476"/>
      <c r="GP144" s="476"/>
      <c r="GQ144" s="493"/>
      <c r="GR144" s="492"/>
      <c r="GS144" s="476"/>
      <c r="GT144" s="476"/>
      <c r="GU144" s="493"/>
      <c r="GV144" s="492"/>
      <c r="GW144" s="476"/>
      <c r="GX144" s="476"/>
      <c r="GY144" s="493"/>
      <c r="GZ144" s="492"/>
      <c r="HA144" s="476"/>
      <c r="HB144" s="476"/>
      <c r="HC144" s="493"/>
      <c r="HD144" s="576"/>
      <c r="HE144" s="580"/>
      <c r="HF144" s="580"/>
      <c r="HG144" s="918"/>
      <c r="HH144" s="919"/>
      <c r="HI144" s="925"/>
      <c r="HJ144" s="925"/>
      <c r="HK144" s="918"/>
      <c r="HL144" s="919"/>
      <c r="HM144" s="925"/>
      <c r="HN144" s="925"/>
      <c r="HO144" s="918"/>
      <c r="HP144" s="919"/>
      <c r="HQ144" s="925"/>
      <c r="HR144" s="925"/>
      <c r="HS144" s="918"/>
      <c r="HT144" s="919"/>
      <c r="HU144" s="925"/>
      <c r="HV144" s="925"/>
      <c r="HW144" s="918"/>
      <c r="HY144" s="492"/>
      <c r="HZ144" s="476"/>
      <c r="IA144" s="476"/>
      <c r="IB144" s="493"/>
      <c r="IC144" s="492"/>
      <c r="ID144" s="476"/>
      <c r="IE144" s="476"/>
      <c r="IF144" s="493"/>
      <c r="IG144" s="492"/>
      <c r="IH144" s="476"/>
      <c r="II144" s="476"/>
      <c r="IJ144" s="493"/>
    </row>
    <row r="145" spans="1:244">
      <c r="A145" s="554" t="s">
        <v>24</v>
      </c>
      <c r="B145" s="574">
        <v>2059</v>
      </c>
      <c r="C145" s="575"/>
      <c r="D145" s="575"/>
      <c r="E145" s="575"/>
      <c r="F145" s="558"/>
      <c r="G145" s="575"/>
      <c r="H145" s="575"/>
      <c r="I145" s="575"/>
      <c r="J145" s="558"/>
      <c r="K145" s="563"/>
      <c r="L145" s="563"/>
      <c r="M145" s="563"/>
      <c r="N145" s="558"/>
      <c r="O145" s="575"/>
      <c r="P145" s="575"/>
      <c r="Q145" s="575"/>
      <c r="R145" s="558"/>
      <c r="S145" s="476"/>
      <c r="T145" s="476"/>
      <c r="U145" s="476"/>
      <c r="V145" s="493"/>
      <c r="W145" s="476"/>
      <c r="X145" s="476"/>
      <c r="Y145" s="476"/>
      <c r="Z145" s="493"/>
      <c r="AA145" s="507"/>
      <c r="AB145" s="507"/>
      <c r="AC145" s="507"/>
      <c r="AD145" s="507"/>
      <c r="AE145" s="476"/>
      <c r="AF145" s="476"/>
      <c r="AG145" s="476"/>
      <c r="AH145" s="493"/>
      <c r="AI145" s="476"/>
      <c r="AJ145" s="476"/>
      <c r="AK145" s="476"/>
      <c r="AL145" s="493"/>
      <c r="AM145" s="507"/>
      <c r="AN145" s="507"/>
      <c r="AO145" s="507"/>
      <c r="AP145" s="507"/>
      <c r="AQ145" s="476"/>
      <c r="AR145" s="476"/>
      <c r="AS145" s="476"/>
      <c r="AT145" s="493"/>
      <c r="AU145" s="575"/>
      <c r="AV145" s="575"/>
      <c r="AW145" s="575"/>
      <c r="AX145" s="558"/>
      <c r="AY145" s="575"/>
      <c r="AZ145" s="575"/>
      <c r="BA145" s="575"/>
      <c r="BB145" s="558"/>
      <c r="BC145" s="575"/>
      <c r="BD145" s="575"/>
      <c r="BE145" s="575"/>
      <c r="BF145" s="558"/>
      <c r="BG145" s="575"/>
      <c r="BH145" s="575"/>
      <c r="BI145" s="575"/>
      <c r="BJ145" s="558"/>
      <c r="BK145" s="575"/>
      <c r="BL145" s="575"/>
      <c r="BM145" s="575"/>
      <c r="BN145" s="558"/>
      <c r="BO145" s="575"/>
      <c r="BP145" s="575"/>
      <c r="BQ145" s="575"/>
      <c r="BR145" s="558"/>
      <c r="BS145" s="476"/>
      <c r="BT145" s="476"/>
      <c r="BU145" s="476"/>
      <c r="BV145" s="493"/>
      <c r="BW145" s="507"/>
      <c r="BX145" s="507"/>
      <c r="BY145" s="507"/>
      <c r="BZ145" s="507"/>
      <c r="CA145" s="476"/>
      <c r="CB145" s="476"/>
      <c r="CC145" s="476"/>
      <c r="CD145" s="493"/>
      <c r="CE145" s="476"/>
      <c r="CF145" s="476"/>
      <c r="CG145" s="476"/>
      <c r="CH145" s="493"/>
      <c r="CI145" s="507"/>
      <c r="CJ145" s="507"/>
      <c r="CK145" s="507"/>
      <c r="CL145" s="507"/>
      <c r="CM145" s="492">
        <f>+CO144</f>
        <v>846460.38551137643</v>
      </c>
      <c r="CN145" s="476">
        <f>+CM$31</f>
        <v>483691.64886363636</v>
      </c>
      <c r="CO145" s="476">
        <f t="shared" ref="CO145:CO146" si="225">+CM145-CN145</f>
        <v>362768.73664774006</v>
      </c>
      <c r="CP145" s="493">
        <f>+CM$28*CO145+CN145</f>
        <v>524521.00526869297</v>
      </c>
      <c r="CQ145" s="492">
        <f>+CS144</f>
        <v>3531037.9375568246</v>
      </c>
      <c r="CR145" s="476">
        <f>+CQ$31</f>
        <v>2017735.9643181816</v>
      </c>
      <c r="CS145" s="476">
        <f t="shared" ref="CS145:CS146" si="226">+CQ145-CR145</f>
        <v>1513301.973238643</v>
      </c>
      <c r="CT145" s="493">
        <f>+CQ$28*CS145+CR145</f>
        <v>2188056.9963475578</v>
      </c>
      <c r="CU145" s="492">
        <f>+CW144</f>
        <v>1352390.7450000164</v>
      </c>
      <c r="CV145" s="476">
        <f>+CU$31</f>
        <v>676195.37250000006</v>
      </c>
      <c r="CW145" s="476">
        <f t="shared" ref="CW145:CW146" si="227">+CU145-CV145</f>
        <v>676195.37250001635</v>
      </c>
      <c r="CX145" s="493">
        <f>+CU$28*CW145+CV145</f>
        <v>752300.66789667052</v>
      </c>
      <c r="CY145" s="492">
        <f>+DA144</f>
        <v>1834.3096590908954</v>
      </c>
      <c r="CZ145" s="476">
        <f>+CY$31</f>
        <v>733.72386363636497</v>
      </c>
      <c r="DA145" s="476">
        <f t="shared" si="169"/>
        <v>1100.5857954545304</v>
      </c>
      <c r="DB145" s="493">
        <f>+CY$28*DA145+CZ145</f>
        <v>857.59399123391006</v>
      </c>
      <c r="DC145" s="492">
        <f>+DE144</f>
        <v>100194.01363636553</v>
      </c>
      <c r="DD145" s="476">
        <f>+DC$31</f>
        <v>44530.672727272722</v>
      </c>
      <c r="DE145" s="476">
        <f t="shared" si="170"/>
        <v>55663.340909092811</v>
      </c>
      <c r="DF145" s="493">
        <f>+DC$28*DE145+DD145</f>
        <v>50795.541099544789</v>
      </c>
      <c r="DG145" s="492">
        <f>+DI144</f>
        <v>61598.685795453741</v>
      </c>
      <c r="DH145" s="476">
        <f>+DG$31</f>
        <v>24639.474318181816</v>
      </c>
      <c r="DI145" s="476">
        <f t="shared" si="171"/>
        <v>36959.211477271921</v>
      </c>
      <c r="DJ145" s="493">
        <f>+DG$28*DI145+DH145</f>
        <v>28799.206581220522</v>
      </c>
      <c r="DK145" s="492">
        <f>+DM144</f>
        <v>1190927.419204555</v>
      </c>
      <c r="DL145" s="476">
        <f>+DK$31</f>
        <v>549658.80886363634</v>
      </c>
      <c r="DM145" s="476">
        <f t="shared" si="172"/>
        <v>641268.61034091865</v>
      </c>
      <c r="DN145" s="493">
        <f>+DK$28*DM145+DL145</f>
        <v>621833.12268387293</v>
      </c>
      <c r="DO145" s="492">
        <f>+DQ144</f>
        <v>62043.562234848272</v>
      </c>
      <c r="DP145" s="476">
        <f>+DO$31</f>
        <v>19592.703863636354</v>
      </c>
      <c r="DQ145" s="476">
        <f t="shared" si="148"/>
        <v>42450.858371211914</v>
      </c>
      <c r="DR145" s="493">
        <f>+DO$28*DQ145+DP145</f>
        <v>24370.516974422211</v>
      </c>
      <c r="DS145" s="492">
        <f>+DU144</f>
        <v>29035.134545454661</v>
      </c>
      <c r="DT145" s="476">
        <f>+DS$31</f>
        <v>8295.7527272726966</v>
      </c>
      <c r="DU145" s="476">
        <f t="shared" si="173"/>
        <v>20739.381818181966</v>
      </c>
      <c r="DV145" s="493">
        <f>+DS$28*DU145+DT145</f>
        <v>10629.955006388467</v>
      </c>
      <c r="DW145" s="492">
        <f>+DY144</f>
        <v>3970.7310795454105</v>
      </c>
      <c r="DX145" s="476">
        <f>+DW$31</f>
        <v>1221.7634090909089</v>
      </c>
      <c r="DY145" s="476">
        <f t="shared" si="174"/>
        <v>2748.9676704545018</v>
      </c>
      <c r="DZ145" s="493">
        <f>+DW$28*DY145+DX145</f>
        <v>1531.1577130216592</v>
      </c>
      <c r="EA145" s="492">
        <f>+EC144</f>
        <v>-27887.847897727563</v>
      </c>
      <c r="EB145" s="476">
        <f>+EA$31</f>
        <v>-7120.3015909091364</v>
      </c>
      <c r="EC145" s="476">
        <f t="shared" si="175"/>
        <v>-20767.546306818425</v>
      </c>
      <c r="ED145" s="493">
        <f>+EA$28*EC145+EB145</f>
        <v>-9457.6737626543836</v>
      </c>
      <c r="EE145" s="576">
        <f>+EG144</f>
        <v>1042683.6431818265</v>
      </c>
      <c r="EF145" s="580">
        <f>+EE$31</f>
        <v>192495.44181818186</v>
      </c>
      <c r="EG145" s="580">
        <f t="shared" si="176"/>
        <v>850188.20136364456</v>
      </c>
      <c r="EH145" s="493">
        <f>+EE$28*EG145+EF145</f>
        <v>288183.50304865499</v>
      </c>
      <c r="EI145" s="576">
        <f>+EK144</f>
        <v>44894.509280302889</v>
      </c>
      <c r="EJ145" s="580">
        <f>+EI$31</f>
        <v>7696.2015909090906</v>
      </c>
      <c r="EK145" s="580">
        <f t="shared" si="177"/>
        <v>37198.307689393798</v>
      </c>
      <c r="EL145" s="493">
        <f>+EI$28*EK145+EJ145</f>
        <v>11882.843958026864</v>
      </c>
      <c r="EM145" s="576">
        <f>+EO144</f>
        <v>1567658.7531818133</v>
      </c>
      <c r="EN145" s="580">
        <f>+EM$31</f>
        <v>261276.45886363636</v>
      </c>
      <c r="EO145" s="580">
        <f t="shared" si="178"/>
        <v>1306382.2943181768</v>
      </c>
      <c r="EP145" s="493">
        <f>+EM$28*EO145+EN145</f>
        <v>408308.8321294894</v>
      </c>
      <c r="EQ145" s="576">
        <f>+ES144</f>
        <v>3253770.0384090766</v>
      </c>
      <c r="ER145" s="580">
        <f>+EQ$31</f>
        <v>500580.00590909086</v>
      </c>
      <c r="ES145" s="580">
        <f t="shared" si="179"/>
        <v>2753190.0324999858</v>
      </c>
      <c r="ET145" s="493">
        <f>+EQ$28*ES145+ER145</f>
        <v>810449.53360476461</v>
      </c>
      <c r="EU145" s="576">
        <f>+EW144</f>
        <v>4204301.8904545382</v>
      </c>
      <c r="EV145" s="580">
        <f>+EU$31</f>
        <v>646815.67545454553</v>
      </c>
      <c r="EW145" s="580">
        <f t="shared" si="195"/>
        <v>3557486.2149999924</v>
      </c>
      <c r="EX145" s="493">
        <f>+EU$28*EW145+EV145</f>
        <v>1047208.1511693229</v>
      </c>
      <c r="EY145" s="582">
        <f t="shared" si="196"/>
        <v>6760270.9537102301</v>
      </c>
      <c r="EZ145" s="557"/>
      <c r="FA145" s="578">
        <f>+EY145</f>
        <v>6760270.9537102301</v>
      </c>
      <c r="FD145" s="492"/>
      <c r="FE145" s="476"/>
      <c r="FF145" s="476"/>
      <c r="FG145" s="493"/>
      <c r="FH145" s="492"/>
      <c r="FI145" s="476"/>
      <c r="FJ145" s="476"/>
      <c r="FK145" s="493"/>
      <c r="FL145" s="492"/>
      <c r="FM145" s="476"/>
      <c r="FN145" s="476"/>
      <c r="FO145" s="493"/>
      <c r="FP145" s="492"/>
      <c r="FQ145" s="476"/>
      <c r="FR145" s="476"/>
      <c r="FS145" s="493"/>
      <c r="FT145" s="492"/>
      <c r="FU145" s="476"/>
      <c r="FV145" s="476"/>
      <c r="FW145" s="493"/>
      <c r="FX145" s="492"/>
      <c r="FY145" s="476"/>
      <c r="FZ145" s="476"/>
      <c r="GA145" s="493"/>
      <c r="GB145" s="492"/>
      <c r="GC145" s="476"/>
      <c r="GD145" s="476"/>
      <c r="GE145" s="493"/>
      <c r="GF145" s="492"/>
      <c r="GG145" s="476"/>
      <c r="GH145" s="476"/>
      <c r="GI145" s="493"/>
      <c r="GJ145" s="492"/>
      <c r="GK145" s="476"/>
      <c r="GL145" s="476"/>
      <c r="GM145" s="493"/>
      <c r="GN145" s="492"/>
      <c r="GO145" s="476"/>
      <c r="GP145" s="476"/>
      <c r="GQ145" s="493"/>
      <c r="GR145" s="492"/>
      <c r="GS145" s="476"/>
      <c r="GT145" s="476"/>
      <c r="GU145" s="493"/>
      <c r="GV145" s="492"/>
      <c r="GW145" s="476"/>
      <c r="GX145" s="476"/>
      <c r="GY145" s="493"/>
      <c r="GZ145" s="492"/>
      <c r="HA145" s="476"/>
      <c r="HB145" s="476"/>
      <c r="HC145" s="493"/>
      <c r="HD145" s="576"/>
      <c r="HE145" s="580"/>
      <c r="HF145" s="580"/>
      <c r="HG145" s="918"/>
      <c r="HH145" s="919"/>
      <c r="HI145" s="925"/>
      <c r="HJ145" s="925"/>
      <c r="HK145" s="918"/>
      <c r="HL145" s="919"/>
      <c r="HM145" s="925"/>
      <c r="HN145" s="925"/>
      <c r="HO145" s="918"/>
      <c r="HP145" s="919"/>
      <c r="HQ145" s="925"/>
      <c r="HR145" s="925"/>
      <c r="HS145" s="918"/>
      <c r="HT145" s="919"/>
      <c r="HU145" s="925"/>
      <c r="HV145" s="925"/>
      <c r="HW145" s="918"/>
      <c r="HY145" s="492"/>
      <c r="HZ145" s="476"/>
      <c r="IA145" s="476"/>
      <c r="IB145" s="493"/>
      <c r="IC145" s="492"/>
      <c r="ID145" s="476"/>
      <c r="IE145" s="476"/>
      <c r="IF145" s="493"/>
      <c r="IG145" s="492"/>
      <c r="IH145" s="476"/>
      <c r="II145" s="476"/>
      <c r="IJ145" s="493"/>
    </row>
    <row r="146" spans="1:244">
      <c r="A146" s="554" t="s">
        <v>23</v>
      </c>
      <c r="B146" s="574">
        <v>2059</v>
      </c>
      <c r="C146" s="575"/>
      <c r="D146" s="575"/>
      <c r="E146" s="575"/>
      <c r="F146" s="558"/>
      <c r="G146" s="575"/>
      <c r="H146" s="575"/>
      <c r="I146" s="575"/>
      <c r="J146" s="558"/>
      <c r="K146" s="563"/>
      <c r="L146" s="563"/>
      <c r="M146" s="563"/>
      <c r="N146" s="558"/>
      <c r="O146" s="575"/>
      <c r="P146" s="575"/>
      <c r="Q146" s="575"/>
      <c r="R146" s="558"/>
      <c r="S146" s="476"/>
      <c r="T146" s="476"/>
      <c r="U146" s="476"/>
      <c r="V146" s="493"/>
      <c r="W146" s="476"/>
      <c r="X146" s="476"/>
      <c r="Y146" s="476"/>
      <c r="Z146" s="493"/>
      <c r="AA146" s="507"/>
      <c r="AB146" s="507"/>
      <c r="AC146" s="507"/>
      <c r="AD146" s="507"/>
      <c r="AE146" s="476"/>
      <c r="AF146" s="476"/>
      <c r="AG146" s="476"/>
      <c r="AH146" s="493"/>
      <c r="AI146" s="476"/>
      <c r="AJ146" s="476"/>
      <c r="AK146" s="476"/>
      <c r="AL146" s="493"/>
      <c r="AM146" s="507"/>
      <c r="AN146" s="507"/>
      <c r="AO146" s="507"/>
      <c r="AP146" s="507"/>
      <c r="AQ146" s="476"/>
      <c r="AR146" s="476"/>
      <c r="AS146" s="476"/>
      <c r="AT146" s="493"/>
      <c r="AU146" s="575"/>
      <c r="AV146" s="575"/>
      <c r="AW146" s="575"/>
      <c r="AX146" s="558"/>
      <c r="AY146" s="575"/>
      <c r="AZ146" s="575"/>
      <c r="BA146" s="575"/>
      <c r="BB146" s="558"/>
      <c r="BC146" s="575"/>
      <c r="BD146" s="575"/>
      <c r="BE146" s="575"/>
      <c r="BF146" s="558"/>
      <c r="BG146" s="575"/>
      <c r="BH146" s="575"/>
      <c r="BI146" s="575"/>
      <c r="BJ146" s="558"/>
      <c r="BK146" s="575"/>
      <c r="BL146" s="575"/>
      <c r="BM146" s="575"/>
      <c r="BN146" s="558"/>
      <c r="BO146" s="575"/>
      <c r="BP146" s="575"/>
      <c r="BQ146" s="575"/>
      <c r="BR146" s="558"/>
      <c r="BS146" s="476"/>
      <c r="BT146" s="476"/>
      <c r="BU146" s="476"/>
      <c r="BV146" s="493"/>
      <c r="BW146" s="507"/>
      <c r="BX146" s="507"/>
      <c r="BY146" s="507"/>
      <c r="BZ146" s="507"/>
      <c r="CA146" s="476"/>
      <c r="CB146" s="476"/>
      <c r="CC146" s="476"/>
      <c r="CD146" s="493"/>
      <c r="CE146" s="476"/>
      <c r="CF146" s="476"/>
      <c r="CG146" s="476"/>
      <c r="CH146" s="493"/>
      <c r="CI146" s="507"/>
      <c r="CJ146" s="507"/>
      <c r="CK146" s="507"/>
      <c r="CL146" s="507"/>
      <c r="CM146" s="492">
        <f>+CM145</f>
        <v>846460.38551137643</v>
      </c>
      <c r="CN146" s="476">
        <f>+CN145</f>
        <v>483691.64886363636</v>
      </c>
      <c r="CO146" s="476">
        <f t="shared" si="225"/>
        <v>362768.73664774006</v>
      </c>
      <c r="CP146" s="493">
        <f>+CM$29*CO146+CN146</f>
        <v>524521.00526869297</v>
      </c>
      <c r="CQ146" s="492">
        <f>+CQ145</f>
        <v>3531037.9375568246</v>
      </c>
      <c r="CR146" s="476">
        <f>+CR145</f>
        <v>2017735.9643181816</v>
      </c>
      <c r="CS146" s="476">
        <f t="shared" si="226"/>
        <v>1513301.973238643</v>
      </c>
      <c r="CT146" s="493">
        <f>+CQ$29*CS146+CR146</f>
        <v>2188056.9963475578</v>
      </c>
      <c r="CU146" s="492">
        <f>+CU145</f>
        <v>1352390.7450000164</v>
      </c>
      <c r="CV146" s="476">
        <f>+CV145</f>
        <v>676195.37250000006</v>
      </c>
      <c r="CW146" s="476">
        <f t="shared" si="227"/>
        <v>676195.37250001635</v>
      </c>
      <c r="CX146" s="493">
        <f>+CU$29*CW146+CV146</f>
        <v>752300.66789667052</v>
      </c>
      <c r="CY146" s="492">
        <f>+CY145</f>
        <v>1834.3096590908954</v>
      </c>
      <c r="CZ146" s="476">
        <f>+CZ145</f>
        <v>733.72386363636497</v>
      </c>
      <c r="DA146" s="476">
        <f t="shared" si="169"/>
        <v>1100.5857954545304</v>
      </c>
      <c r="DB146" s="493">
        <f>+CY$29*DA146+CZ146</f>
        <v>857.59399123391006</v>
      </c>
      <c r="DC146" s="492">
        <f>+DC145</f>
        <v>100194.01363636553</v>
      </c>
      <c r="DD146" s="476">
        <f>+DD145</f>
        <v>44530.672727272722</v>
      </c>
      <c r="DE146" s="476">
        <f t="shared" si="170"/>
        <v>55663.340909092811</v>
      </c>
      <c r="DF146" s="493">
        <f>+DC$29*DE146+DD146</f>
        <v>50795.541099544789</v>
      </c>
      <c r="DG146" s="492">
        <f>+DG145</f>
        <v>61598.685795453741</v>
      </c>
      <c r="DH146" s="476">
        <f>+DH145</f>
        <v>24639.474318181816</v>
      </c>
      <c r="DI146" s="476">
        <f t="shared" si="171"/>
        <v>36959.211477271921</v>
      </c>
      <c r="DJ146" s="493">
        <f>+DG$29*DI146+DH146</f>
        <v>28799.206581220522</v>
      </c>
      <c r="DK146" s="492">
        <f>+DK145</f>
        <v>1190927.419204555</v>
      </c>
      <c r="DL146" s="476">
        <f>+DL145</f>
        <v>549658.80886363634</v>
      </c>
      <c r="DM146" s="476">
        <f t="shared" si="172"/>
        <v>641268.61034091865</v>
      </c>
      <c r="DN146" s="493">
        <f>+DK$29*DM146+DL146</f>
        <v>621833.12268387293</v>
      </c>
      <c r="DO146" s="492">
        <f>+DO145</f>
        <v>62043.562234848272</v>
      </c>
      <c r="DP146" s="476">
        <f>+DP145</f>
        <v>19592.703863636354</v>
      </c>
      <c r="DQ146" s="476">
        <f t="shared" si="148"/>
        <v>42450.858371211914</v>
      </c>
      <c r="DR146" s="493">
        <f>+DO$29*DQ146+DP146</f>
        <v>24370.516974422211</v>
      </c>
      <c r="DS146" s="492">
        <f>+DS145</f>
        <v>29035.134545454661</v>
      </c>
      <c r="DT146" s="476">
        <f>+DT145</f>
        <v>8295.7527272726966</v>
      </c>
      <c r="DU146" s="476">
        <f t="shared" si="173"/>
        <v>20739.381818181966</v>
      </c>
      <c r="DV146" s="493">
        <f>+DS$29*DU146+DT146</f>
        <v>10629.955006388467</v>
      </c>
      <c r="DW146" s="492">
        <f>+DW145</f>
        <v>3970.7310795454105</v>
      </c>
      <c r="DX146" s="476">
        <f>+DX145</f>
        <v>1221.7634090909089</v>
      </c>
      <c r="DY146" s="476">
        <f t="shared" si="174"/>
        <v>2748.9676704545018</v>
      </c>
      <c r="DZ146" s="493">
        <f>+DW$29*DY146+DX146</f>
        <v>1531.1577130216592</v>
      </c>
      <c r="EA146" s="492">
        <f>+EA145</f>
        <v>-27887.847897727563</v>
      </c>
      <c r="EB146" s="476">
        <f>+EB145</f>
        <v>-7120.3015909091364</v>
      </c>
      <c r="EC146" s="476">
        <f t="shared" si="175"/>
        <v>-20767.546306818425</v>
      </c>
      <c r="ED146" s="493">
        <f>+EA$29*EC146+EB146</f>
        <v>-9457.6737626543836</v>
      </c>
      <c r="EE146" s="576">
        <f>+EE145</f>
        <v>1042683.6431818265</v>
      </c>
      <c r="EF146" s="580">
        <f>+EF145</f>
        <v>192495.44181818186</v>
      </c>
      <c r="EG146" s="580">
        <f t="shared" si="176"/>
        <v>850188.20136364456</v>
      </c>
      <c r="EH146" s="493">
        <f>+EE$29*EG146+EF146</f>
        <v>288183.50304865499</v>
      </c>
      <c r="EI146" s="576">
        <f>+EI145</f>
        <v>44894.509280302889</v>
      </c>
      <c r="EJ146" s="580">
        <f>+EJ145</f>
        <v>7696.2015909090906</v>
      </c>
      <c r="EK146" s="580">
        <f t="shared" si="177"/>
        <v>37198.307689393798</v>
      </c>
      <c r="EL146" s="493">
        <f>+EI$29*EK146+EJ146</f>
        <v>11882.843958026864</v>
      </c>
      <c r="EM146" s="576">
        <f>+EM145</f>
        <v>1567658.7531818133</v>
      </c>
      <c r="EN146" s="580">
        <f>+EN145</f>
        <v>261276.45886363636</v>
      </c>
      <c r="EO146" s="580">
        <f t="shared" si="178"/>
        <v>1306382.2943181768</v>
      </c>
      <c r="EP146" s="493">
        <f>+EM$29*EO146+EN146</f>
        <v>408308.8321294894</v>
      </c>
      <c r="EQ146" s="576">
        <f>+EQ145</f>
        <v>3253770.0384090766</v>
      </c>
      <c r="ER146" s="580">
        <f>+ER145</f>
        <v>500580.00590909086</v>
      </c>
      <c r="ES146" s="580">
        <f t="shared" si="179"/>
        <v>2753190.0324999858</v>
      </c>
      <c r="ET146" s="493">
        <f>+EQ$29*ES146+ER146</f>
        <v>810449.53360476461</v>
      </c>
      <c r="EU146" s="576">
        <f>+EU145</f>
        <v>4204301.8904545382</v>
      </c>
      <c r="EV146" s="580">
        <f>+EV145</f>
        <v>646815.67545454553</v>
      </c>
      <c r="EW146" s="580">
        <f t="shared" si="195"/>
        <v>3557486.2149999924</v>
      </c>
      <c r="EX146" s="493">
        <f>+EU$29*EW146+EV146</f>
        <v>1047208.1511693229</v>
      </c>
      <c r="EY146" s="582">
        <f t="shared" si="196"/>
        <v>6760270.9537102301</v>
      </c>
      <c r="EZ146" s="579">
        <f>+EY146</f>
        <v>6760270.9537102301</v>
      </c>
      <c r="FA146" s="553"/>
      <c r="FD146" s="492"/>
      <c r="FE146" s="476"/>
      <c r="FF146" s="476"/>
      <c r="FG146" s="493"/>
      <c r="FH146" s="492"/>
      <c r="FI146" s="476"/>
      <c r="FJ146" s="476"/>
      <c r="FK146" s="493"/>
      <c r="FL146" s="492"/>
      <c r="FM146" s="476"/>
      <c r="FN146" s="476"/>
      <c r="FO146" s="493"/>
      <c r="FP146" s="492"/>
      <c r="FQ146" s="476"/>
      <c r="FR146" s="476"/>
      <c r="FS146" s="493"/>
      <c r="FT146" s="492"/>
      <c r="FU146" s="476"/>
      <c r="FV146" s="476"/>
      <c r="FW146" s="493"/>
      <c r="FX146" s="492"/>
      <c r="FY146" s="476"/>
      <c r="FZ146" s="476"/>
      <c r="GA146" s="493"/>
      <c r="GB146" s="492"/>
      <c r="GC146" s="476"/>
      <c r="GD146" s="476"/>
      <c r="GE146" s="493"/>
      <c r="GF146" s="492"/>
      <c r="GG146" s="476"/>
      <c r="GH146" s="476"/>
      <c r="GI146" s="493"/>
      <c r="GJ146" s="492"/>
      <c r="GK146" s="476"/>
      <c r="GL146" s="476"/>
      <c r="GM146" s="493"/>
      <c r="GN146" s="492"/>
      <c r="GO146" s="476"/>
      <c r="GP146" s="476"/>
      <c r="GQ146" s="493"/>
      <c r="GR146" s="492"/>
      <c r="GS146" s="476"/>
      <c r="GT146" s="476"/>
      <c r="GU146" s="493"/>
      <c r="GV146" s="492"/>
      <c r="GW146" s="476"/>
      <c r="GX146" s="476"/>
      <c r="GY146" s="493"/>
      <c r="GZ146" s="492"/>
      <c r="HA146" s="476"/>
      <c r="HB146" s="476"/>
      <c r="HC146" s="493"/>
      <c r="HD146" s="576"/>
      <c r="HE146" s="580"/>
      <c r="HF146" s="580"/>
      <c r="HG146" s="918"/>
      <c r="HH146" s="919"/>
      <c r="HI146" s="925"/>
      <c r="HJ146" s="925"/>
      <c r="HK146" s="918"/>
      <c r="HL146" s="919"/>
      <c r="HM146" s="925"/>
      <c r="HN146" s="925"/>
      <c r="HO146" s="918"/>
      <c r="HP146" s="919"/>
      <c r="HQ146" s="925"/>
      <c r="HR146" s="925"/>
      <c r="HS146" s="918"/>
      <c r="HT146" s="919"/>
      <c r="HU146" s="925"/>
      <c r="HV146" s="925"/>
      <c r="HW146" s="918"/>
      <c r="HY146" s="492"/>
      <c r="HZ146" s="476"/>
      <c r="IA146" s="476"/>
      <c r="IB146" s="493"/>
      <c r="IC146" s="492"/>
      <c r="ID146" s="476"/>
      <c r="IE146" s="476"/>
      <c r="IF146" s="493"/>
      <c r="IG146" s="492"/>
      <c r="IH146" s="476"/>
      <c r="II146" s="476"/>
      <c r="IJ146" s="493"/>
    </row>
    <row r="147" spans="1:244">
      <c r="A147" s="554" t="s">
        <v>24</v>
      </c>
      <c r="B147" s="574">
        <v>2060</v>
      </c>
      <c r="C147" s="575"/>
      <c r="D147" s="575"/>
      <c r="E147" s="575"/>
      <c r="F147" s="558"/>
      <c r="G147" s="575"/>
      <c r="H147" s="575"/>
      <c r="I147" s="575"/>
      <c r="J147" s="558"/>
      <c r="K147" s="563"/>
      <c r="L147" s="563"/>
      <c r="M147" s="563"/>
      <c r="N147" s="558"/>
      <c r="O147" s="575"/>
      <c r="P147" s="575"/>
      <c r="Q147" s="575"/>
      <c r="R147" s="558"/>
      <c r="S147" s="476"/>
      <c r="T147" s="476"/>
      <c r="U147" s="476"/>
      <c r="V147" s="493"/>
      <c r="W147" s="476"/>
      <c r="X147" s="476"/>
      <c r="Y147" s="476"/>
      <c r="Z147" s="493"/>
      <c r="AA147" s="507"/>
      <c r="AB147" s="507"/>
      <c r="AC147" s="507"/>
      <c r="AD147" s="507"/>
      <c r="AE147" s="476"/>
      <c r="AF147" s="476"/>
      <c r="AG147" s="476"/>
      <c r="AH147" s="493"/>
      <c r="AI147" s="476"/>
      <c r="AJ147" s="476"/>
      <c r="AK147" s="476"/>
      <c r="AL147" s="493"/>
      <c r="AM147" s="507"/>
      <c r="AN147" s="507"/>
      <c r="AO147" s="507"/>
      <c r="AP147" s="507"/>
      <c r="AQ147" s="476"/>
      <c r="AR147" s="476"/>
      <c r="AS147" s="476"/>
      <c r="AT147" s="493"/>
      <c r="AU147" s="575"/>
      <c r="AV147" s="575"/>
      <c r="AW147" s="575"/>
      <c r="AX147" s="558"/>
      <c r="AY147" s="575"/>
      <c r="AZ147" s="575"/>
      <c r="BA147" s="575"/>
      <c r="BB147" s="558"/>
      <c r="BC147" s="575"/>
      <c r="BD147" s="575"/>
      <c r="BE147" s="575"/>
      <c r="BF147" s="558"/>
      <c r="BG147" s="575"/>
      <c r="BH147" s="575"/>
      <c r="BI147" s="575"/>
      <c r="BJ147" s="558"/>
      <c r="BK147" s="575"/>
      <c r="BL147" s="575"/>
      <c r="BM147" s="575"/>
      <c r="BN147" s="558"/>
      <c r="BO147" s="575"/>
      <c r="BP147" s="575"/>
      <c r="BQ147" s="575"/>
      <c r="BR147" s="558"/>
      <c r="BS147" s="476"/>
      <c r="BT147" s="476"/>
      <c r="BU147" s="476"/>
      <c r="BV147" s="493"/>
      <c r="BW147" s="507"/>
      <c r="BX147" s="507"/>
      <c r="BY147" s="507"/>
      <c r="BZ147" s="507"/>
      <c r="CA147" s="476"/>
      <c r="CB147" s="476"/>
      <c r="CC147" s="476"/>
      <c r="CD147" s="493"/>
      <c r="CE147" s="476"/>
      <c r="CF147" s="476"/>
      <c r="CG147" s="476"/>
      <c r="CH147" s="493"/>
      <c r="CI147" s="507"/>
      <c r="CJ147" s="507"/>
      <c r="CK147" s="507"/>
      <c r="CL147" s="507"/>
      <c r="CM147" s="492">
        <f>+CO146</f>
        <v>362768.73664774006</v>
      </c>
      <c r="CN147" s="476">
        <f>+CM$31/12*CM32</f>
        <v>362768.73664772726</v>
      </c>
      <c r="CO147" s="476">
        <f t="shared" ref="CO147:CO148" si="228">+CM147-CN147</f>
        <v>1.280568540096283E-8</v>
      </c>
      <c r="CP147" s="493">
        <f>+CM$28*CO147+CN147</f>
        <v>362768.73664772871</v>
      </c>
      <c r="CQ147" s="492">
        <f>+CS146</f>
        <v>1513301.973238643</v>
      </c>
      <c r="CR147" s="476">
        <f>+CQ$31/12*CQ32</f>
        <v>1513301.973238636</v>
      </c>
      <c r="CS147" s="476">
        <f t="shared" ref="CS147:CS148" si="229">+CQ147-CR147</f>
        <v>6.9849193096160889E-9</v>
      </c>
      <c r="CT147" s="493">
        <f>+CQ$28*CS147+CR147</f>
        <v>1513301.9732386367</v>
      </c>
      <c r="CU147" s="492">
        <f>+CW146</f>
        <v>676195.37250001635</v>
      </c>
      <c r="CV147" s="476">
        <f>+CU$31/12*CU32</f>
        <v>676195.37250000006</v>
      </c>
      <c r="CW147" s="476">
        <f t="shared" ref="CW147:CW148" si="230">+CU147-CV147</f>
        <v>1.6298145055770874E-8</v>
      </c>
      <c r="CX147" s="493">
        <f>+CU$28*CW147+CV147</f>
        <v>676195.37250000192</v>
      </c>
      <c r="CY147" s="492">
        <f>+DA146</f>
        <v>1100.5857954545304</v>
      </c>
      <c r="CZ147" s="476">
        <f>+CY$31</f>
        <v>733.72386363636497</v>
      </c>
      <c r="DA147" s="476">
        <f t="shared" si="169"/>
        <v>366.86193181816543</v>
      </c>
      <c r="DB147" s="493">
        <f>+CY$28*DA147+CZ147</f>
        <v>775.01390616887875</v>
      </c>
      <c r="DC147" s="492">
        <f>+DE146</f>
        <v>55663.340909092811</v>
      </c>
      <c r="DD147" s="476">
        <f>+DC$31</f>
        <v>44530.672727272722</v>
      </c>
      <c r="DE147" s="476">
        <f t="shared" si="170"/>
        <v>11132.668181820089</v>
      </c>
      <c r="DF147" s="493">
        <f>+DC$28*DE147+DD147</f>
        <v>45783.64640172731</v>
      </c>
      <c r="DG147" s="492">
        <f>+DI146</f>
        <v>36959.211477271921</v>
      </c>
      <c r="DH147" s="476">
        <f>+DG$31</f>
        <v>24639.474318181816</v>
      </c>
      <c r="DI147" s="476">
        <f t="shared" si="171"/>
        <v>12319.737159090106</v>
      </c>
      <c r="DJ147" s="493">
        <f>+DG$28*DI147+DH147</f>
        <v>26026.051739194656</v>
      </c>
      <c r="DK147" s="492">
        <f>+DM146</f>
        <v>641268.61034091865</v>
      </c>
      <c r="DL147" s="476">
        <f>+DK$31</f>
        <v>549658.80886363634</v>
      </c>
      <c r="DM147" s="476">
        <f t="shared" si="172"/>
        <v>91609.801477282308</v>
      </c>
      <c r="DN147" s="493">
        <f>+DK$28*DM147+DL147</f>
        <v>559969.42512367107</v>
      </c>
      <c r="DO147" s="492">
        <f>+DQ146</f>
        <v>42450.858371211914</v>
      </c>
      <c r="DP147" s="476">
        <f>+DO$31</f>
        <v>19592.703863636354</v>
      </c>
      <c r="DQ147" s="476">
        <f t="shared" si="148"/>
        <v>22858.15450757556</v>
      </c>
      <c r="DR147" s="493">
        <f>+DO$28*DQ147+DP147</f>
        <v>22165.372461751806</v>
      </c>
      <c r="DS147" s="492">
        <f>+DU146</f>
        <v>20739.381818181966</v>
      </c>
      <c r="DT147" s="476">
        <f>+DS$31</f>
        <v>8295.7527272726966</v>
      </c>
      <c r="DU147" s="476">
        <f t="shared" si="173"/>
        <v>12443.62909090927</v>
      </c>
      <c r="DV147" s="493">
        <f>+DS$28*DU147+DT147</f>
        <v>9696.274094742168</v>
      </c>
      <c r="DW147" s="492">
        <f>+DY146</f>
        <v>2748.9676704545018</v>
      </c>
      <c r="DX147" s="476">
        <f>+DW$31</f>
        <v>1221.7634090909089</v>
      </c>
      <c r="DY147" s="476">
        <f t="shared" si="174"/>
        <v>1527.2042613635929</v>
      </c>
      <c r="DZ147" s="493">
        <f>+DW$28*DY147+DX147</f>
        <v>1393.6491334968791</v>
      </c>
      <c r="EA147" s="492">
        <f>+EC146</f>
        <v>-20767.546306818425</v>
      </c>
      <c r="EB147" s="476">
        <f>+EA$31</f>
        <v>-7120.3015909091364</v>
      </c>
      <c r="EC147" s="476">
        <f t="shared" si="175"/>
        <v>-13647.244715909288</v>
      </c>
      <c r="ED147" s="493">
        <f>+EA$28*EC147+EB147</f>
        <v>-8656.2890180560171</v>
      </c>
      <c r="EE147" s="576">
        <f>+EG146</f>
        <v>850188.20136364456</v>
      </c>
      <c r="EF147" s="580">
        <f>+EE$31</f>
        <v>192495.44181818186</v>
      </c>
      <c r="EG147" s="580">
        <f t="shared" si="176"/>
        <v>657692.75954546267</v>
      </c>
      <c r="EH147" s="493">
        <f>+EE$28*EG147+EF147</f>
        <v>266518.281637982</v>
      </c>
      <c r="EI147" s="576">
        <f>+EK146</f>
        <v>37198.307689393798</v>
      </c>
      <c r="EJ147" s="580">
        <f>+EI$31</f>
        <v>7696.2015909090906</v>
      </c>
      <c r="EK147" s="580">
        <f t="shared" si="177"/>
        <v>29502.106098484706</v>
      </c>
      <c r="EL147" s="493">
        <f>+EI$28*EK147+EJ147</f>
        <v>11016.642088968012</v>
      </c>
      <c r="EM147" s="576">
        <f>+EO146</f>
        <v>1306382.2943181768</v>
      </c>
      <c r="EN147" s="580">
        <f>+EM$31</f>
        <v>261276.45886363636</v>
      </c>
      <c r="EO147" s="580">
        <f t="shared" si="178"/>
        <v>1045105.8354545404</v>
      </c>
      <c r="EP147" s="493">
        <f>+EM$28*EO147+EN147</f>
        <v>378902.35747631872</v>
      </c>
      <c r="EQ147" s="576">
        <f>+ES146</f>
        <v>2753190.0324999858</v>
      </c>
      <c r="ER147" s="580">
        <f>+EQ$31</f>
        <v>500580.00590909086</v>
      </c>
      <c r="ES147" s="580">
        <f t="shared" si="179"/>
        <v>2252610.0265908949</v>
      </c>
      <c r="ET147" s="493">
        <f>+EQ$28*ES147+ER147</f>
        <v>754109.61947827809</v>
      </c>
      <c r="EU147" s="576">
        <f>+EW146</f>
        <v>3557486.2149999924</v>
      </c>
      <c r="EV147" s="580">
        <f>+EU$31</f>
        <v>646815.67545454553</v>
      </c>
      <c r="EW147" s="580">
        <f t="shared" si="195"/>
        <v>2910670.5395454466</v>
      </c>
      <c r="EX147" s="493">
        <f>+EU$28*EW147+EV147</f>
        <v>974409.51922118128</v>
      </c>
      <c r="EY147" s="582">
        <f t="shared" si="196"/>
        <v>5594375.6461317921</v>
      </c>
      <c r="EZ147" s="557"/>
      <c r="FA147" s="578">
        <f>+EY147</f>
        <v>5594375.6461317921</v>
      </c>
      <c r="FD147" s="492"/>
      <c r="FE147" s="476"/>
      <c r="FF147" s="476"/>
      <c r="FG147" s="493"/>
      <c r="FH147" s="492"/>
      <c r="FI147" s="476"/>
      <c r="FJ147" s="476"/>
      <c r="FK147" s="493"/>
      <c r="FL147" s="492"/>
      <c r="FM147" s="476"/>
      <c r="FN147" s="476"/>
      <c r="FO147" s="493"/>
      <c r="FP147" s="492"/>
      <c r="FQ147" s="476"/>
      <c r="FR147" s="476"/>
      <c r="FS147" s="493"/>
      <c r="FT147" s="492"/>
      <c r="FU147" s="476"/>
      <c r="FV147" s="476"/>
      <c r="FW147" s="493"/>
      <c r="FX147" s="492"/>
      <c r="FY147" s="476"/>
      <c r="FZ147" s="476"/>
      <c r="GA147" s="493"/>
      <c r="GB147" s="492"/>
      <c r="GC147" s="476"/>
      <c r="GD147" s="476"/>
      <c r="GE147" s="493"/>
      <c r="GF147" s="492"/>
      <c r="GG147" s="476"/>
      <c r="GH147" s="476"/>
      <c r="GI147" s="493"/>
      <c r="GJ147" s="492"/>
      <c r="GK147" s="476"/>
      <c r="GL147" s="476"/>
      <c r="GM147" s="493"/>
      <c r="GN147" s="492"/>
      <c r="GO147" s="476"/>
      <c r="GP147" s="476"/>
      <c r="GQ147" s="493"/>
      <c r="GR147" s="492"/>
      <c r="GS147" s="476"/>
      <c r="GT147" s="476"/>
      <c r="GU147" s="493"/>
      <c r="GV147" s="492"/>
      <c r="GW147" s="476"/>
      <c r="GX147" s="476"/>
      <c r="GY147" s="493"/>
      <c r="GZ147" s="492"/>
      <c r="HA147" s="476"/>
      <c r="HB147" s="476"/>
      <c r="HC147" s="493"/>
      <c r="HD147" s="576"/>
      <c r="HE147" s="580"/>
      <c r="HF147" s="580"/>
      <c r="HG147" s="918"/>
      <c r="HH147" s="919"/>
      <c r="HI147" s="925"/>
      <c r="HJ147" s="925"/>
      <c r="HK147" s="918"/>
      <c r="HL147" s="919"/>
      <c r="HM147" s="925"/>
      <c r="HN147" s="925"/>
      <c r="HO147" s="918"/>
      <c r="HP147" s="919"/>
      <c r="HQ147" s="925"/>
      <c r="HR147" s="925"/>
      <c r="HS147" s="918"/>
      <c r="HT147" s="919"/>
      <c r="HU147" s="925"/>
      <c r="HV147" s="925"/>
      <c r="HW147" s="918"/>
      <c r="HY147" s="492"/>
      <c r="HZ147" s="476"/>
      <c r="IA147" s="476"/>
      <c r="IB147" s="493"/>
      <c r="IC147" s="492"/>
      <c r="ID147" s="476"/>
      <c r="IE147" s="476"/>
      <c r="IF147" s="493"/>
      <c r="IG147" s="492"/>
      <c r="IH147" s="476"/>
      <c r="II147" s="476"/>
      <c r="IJ147" s="493"/>
    </row>
    <row r="148" spans="1:244">
      <c r="A148" s="554" t="s">
        <v>23</v>
      </c>
      <c r="B148" s="574">
        <v>2060</v>
      </c>
      <c r="C148" s="575"/>
      <c r="D148" s="575"/>
      <c r="E148" s="575"/>
      <c r="F148" s="558"/>
      <c r="G148" s="575"/>
      <c r="H148" s="575"/>
      <c r="I148" s="575"/>
      <c r="J148" s="558"/>
      <c r="K148" s="563"/>
      <c r="L148" s="563"/>
      <c r="M148" s="563"/>
      <c r="N148" s="558"/>
      <c r="O148" s="575"/>
      <c r="P148" s="575"/>
      <c r="Q148" s="575"/>
      <c r="R148" s="558"/>
      <c r="S148" s="476"/>
      <c r="T148" s="476"/>
      <c r="U148" s="476"/>
      <c r="V148" s="493"/>
      <c r="W148" s="476"/>
      <c r="X148" s="476"/>
      <c r="Y148" s="476"/>
      <c r="Z148" s="493"/>
      <c r="AA148" s="507"/>
      <c r="AB148" s="507"/>
      <c r="AC148" s="507"/>
      <c r="AD148" s="507"/>
      <c r="AE148" s="476"/>
      <c r="AF148" s="476"/>
      <c r="AG148" s="476"/>
      <c r="AH148" s="493"/>
      <c r="AI148" s="476"/>
      <c r="AJ148" s="476"/>
      <c r="AK148" s="476"/>
      <c r="AL148" s="493"/>
      <c r="AM148" s="507"/>
      <c r="AN148" s="507"/>
      <c r="AO148" s="507"/>
      <c r="AP148" s="507"/>
      <c r="AQ148" s="476"/>
      <c r="AR148" s="476"/>
      <c r="AS148" s="476"/>
      <c r="AT148" s="493"/>
      <c r="AU148" s="575"/>
      <c r="AV148" s="575"/>
      <c r="AW148" s="575"/>
      <c r="AX148" s="558"/>
      <c r="AY148" s="575"/>
      <c r="AZ148" s="575"/>
      <c r="BA148" s="575"/>
      <c r="BB148" s="558"/>
      <c r="BC148" s="575"/>
      <c r="BD148" s="575"/>
      <c r="BE148" s="575"/>
      <c r="BF148" s="558"/>
      <c r="BG148" s="575"/>
      <c r="BH148" s="575"/>
      <c r="BI148" s="575"/>
      <c r="BJ148" s="558"/>
      <c r="BK148" s="575"/>
      <c r="BL148" s="575"/>
      <c r="BM148" s="575"/>
      <c r="BN148" s="558"/>
      <c r="BO148" s="575"/>
      <c r="BP148" s="575"/>
      <c r="BQ148" s="575"/>
      <c r="BR148" s="558"/>
      <c r="BS148" s="476"/>
      <c r="BT148" s="476"/>
      <c r="BU148" s="476"/>
      <c r="BV148" s="493"/>
      <c r="BW148" s="507"/>
      <c r="BX148" s="507"/>
      <c r="BY148" s="507"/>
      <c r="BZ148" s="507"/>
      <c r="CA148" s="476"/>
      <c r="CB148" s="476"/>
      <c r="CC148" s="476"/>
      <c r="CD148" s="493"/>
      <c r="CE148" s="476"/>
      <c r="CF148" s="476"/>
      <c r="CG148" s="476"/>
      <c r="CH148" s="493"/>
      <c r="CI148" s="507"/>
      <c r="CJ148" s="507"/>
      <c r="CK148" s="507"/>
      <c r="CL148" s="507"/>
      <c r="CM148" s="492">
        <f>+CM147</f>
        <v>362768.73664774006</v>
      </c>
      <c r="CN148" s="476">
        <f>+CN147</f>
        <v>362768.73664772726</v>
      </c>
      <c r="CO148" s="476">
        <f t="shared" si="228"/>
        <v>1.280568540096283E-8</v>
      </c>
      <c r="CP148" s="493">
        <f>+CM$29*CO148+CN148</f>
        <v>362768.73664772871</v>
      </c>
      <c r="CQ148" s="507">
        <f>+CQ147</f>
        <v>1513301.973238643</v>
      </c>
      <c r="CR148" s="476">
        <f>+CR147</f>
        <v>1513301.973238636</v>
      </c>
      <c r="CS148" s="476">
        <f t="shared" si="229"/>
        <v>6.9849193096160889E-9</v>
      </c>
      <c r="CT148" s="493">
        <f>+CQ$29*CS148+CR148</f>
        <v>1513301.9732386367</v>
      </c>
      <c r="CU148" s="492">
        <f>+CU147</f>
        <v>676195.37250001635</v>
      </c>
      <c r="CV148" s="476">
        <f>+CV147</f>
        <v>676195.37250000006</v>
      </c>
      <c r="CW148" s="476">
        <f t="shared" si="230"/>
        <v>1.6298145055770874E-8</v>
      </c>
      <c r="CX148" s="493">
        <f>+CU$29*CW148+CV148</f>
        <v>676195.37250000192</v>
      </c>
      <c r="CY148" s="492">
        <f>+CY147</f>
        <v>1100.5857954545304</v>
      </c>
      <c r="CZ148" s="476">
        <f>+CZ147</f>
        <v>733.72386363636497</v>
      </c>
      <c r="DA148" s="476">
        <f t="shared" si="169"/>
        <v>366.86193181816543</v>
      </c>
      <c r="DB148" s="493">
        <f>+CY$29*DA148+CZ148</f>
        <v>775.01390616887875</v>
      </c>
      <c r="DC148" s="492">
        <f>+DC147</f>
        <v>55663.340909092811</v>
      </c>
      <c r="DD148" s="476">
        <f>+DD147</f>
        <v>44530.672727272722</v>
      </c>
      <c r="DE148" s="476">
        <f t="shared" si="170"/>
        <v>11132.668181820089</v>
      </c>
      <c r="DF148" s="493">
        <f>+DC$29*DE148+DD148</f>
        <v>45783.64640172731</v>
      </c>
      <c r="DG148" s="492">
        <f>+DG147</f>
        <v>36959.211477271921</v>
      </c>
      <c r="DH148" s="476">
        <f>+DH147</f>
        <v>24639.474318181816</v>
      </c>
      <c r="DI148" s="476">
        <f t="shared" si="171"/>
        <v>12319.737159090106</v>
      </c>
      <c r="DJ148" s="493">
        <f>+DG$29*DI148+DH148</f>
        <v>26026.051739194656</v>
      </c>
      <c r="DK148" s="492">
        <f>+DK147</f>
        <v>641268.61034091865</v>
      </c>
      <c r="DL148" s="476">
        <f>+DL147</f>
        <v>549658.80886363634</v>
      </c>
      <c r="DM148" s="476">
        <f t="shared" si="172"/>
        <v>91609.801477282308</v>
      </c>
      <c r="DN148" s="493">
        <f>+DK$29*DM148+DL148</f>
        <v>559969.42512367107</v>
      </c>
      <c r="DO148" s="492">
        <f>+DO147</f>
        <v>42450.858371211914</v>
      </c>
      <c r="DP148" s="476">
        <f>+DP147</f>
        <v>19592.703863636354</v>
      </c>
      <c r="DQ148" s="476">
        <f t="shared" si="148"/>
        <v>22858.15450757556</v>
      </c>
      <c r="DR148" s="493">
        <f>+DO$29*DQ148+DP148</f>
        <v>22165.372461751806</v>
      </c>
      <c r="DS148" s="492">
        <f>+DS147</f>
        <v>20739.381818181966</v>
      </c>
      <c r="DT148" s="476">
        <f>+DT147</f>
        <v>8295.7527272726966</v>
      </c>
      <c r="DU148" s="476">
        <f t="shared" si="173"/>
        <v>12443.62909090927</v>
      </c>
      <c r="DV148" s="493">
        <f>+DS$29*DU148+DT148</f>
        <v>9696.274094742168</v>
      </c>
      <c r="DW148" s="492">
        <f>+DW147</f>
        <v>2748.9676704545018</v>
      </c>
      <c r="DX148" s="476">
        <f>+DX147</f>
        <v>1221.7634090909089</v>
      </c>
      <c r="DY148" s="476">
        <f t="shared" si="174"/>
        <v>1527.2042613635929</v>
      </c>
      <c r="DZ148" s="493">
        <f>+DW$29*DY148+DX148</f>
        <v>1393.6491334968791</v>
      </c>
      <c r="EA148" s="492">
        <f>+EA147</f>
        <v>-20767.546306818425</v>
      </c>
      <c r="EB148" s="476">
        <f>+EB147</f>
        <v>-7120.3015909091364</v>
      </c>
      <c r="EC148" s="476">
        <f t="shared" si="175"/>
        <v>-13647.244715909288</v>
      </c>
      <c r="ED148" s="493">
        <f>+EA$29*EC148+EB148</f>
        <v>-8656.2890180560171</v>
      </c>
      <c r="EE148" s="576">
        <f>+EE147</f>
        <v>850188.20136364456</v>
      </c>
      <c r="EF148" s="580">
        <f>+EF147</f>
        <v>192495.44181818186</v>
      </c>
      <c r="EG148" s="580">
        <f t="shared" si="176"/>
        <v>657692.75954546267</v>
      </c>
      <c r="EH148" s="493">
        <f>+EE$29*EG148+EF148</f>
        <v>266518.281637982</v>
      </c>
      <c r="EI148" s="576">
        <f>+EI147</f>
        <v>37198.307689393798</v>
      </c>
      <c r="EJ148" s="580">
        <f>+EJ147</f>
        <v>7696.2015909090906</v>
      </c>
      <c r="EK148" s="580">
        <f t="shared" si="177"/>
        <v>29502.106098484706</v>
      </c>
      <c r="EL148" s="493">
        <f>+EI$29*EK148+EJ148</f>
        <v>11016.642088968012</v>
      </c>
      <c r="EM148" s="576">
        <f>+EM147</f>
        <v>1306382.2943181768</v>
      </c>
      <c r="EN148" s="580">
        <f>+EN147</f>
        <v>261276.45886363636</v>
      </c>
      <c r="EO148" s="580">
        <f t="shared" si="178"/>
        <v>1045105.8354545404</v>
      </c>
      <c r="EP148" s="493">
        <f>+EM$29*EO148+EN148</f>
        <v>378902.35747631872</v>
      </c>
      <c r="EQ148" s="576">
        <f>+EQ147</f>
        <v>2753190.0324999858</v>
      </c>
      <c r="ER148" s="580">
        <f>+ER147</f>
        <v>500580.00590909086</v>
      </c>
      <c r="ES148" s="580">
        <f t="shared" si="179"/>
        <v>2252610.0265908949</v>
      </c>
      <c r="ET148" s="493">
        <f>+EQ$29*ES148+ER148</f>
        <v>754109.61947827809</v>
      </c>
      <c r="EU148" s="576">
        <f>+EU147</f>
        <v>3557486.2149999924</v>
      </c>
      <c r="EV148" s="580">
        <f>+EV147</f>
        <v>646815.67545454553</v>
      </c>
      <c r="EW148" s="580">
        <f t="shared" si="195"/>
        <v>2910670.5395454466</v>
      </c>
      <c r="EX148" s="493">
        <f>+EU$29*EW148+EV148</f>
        <v>974409.51922118128</v>
      </c>
      <c r="EY148" s="582">
        <f t="shared" si="196"/>
        <v>5594375.6461317921</v>
      </c>
      <c r="EZ148" s="579">
        <f>+EY148</f>
        <v>5594375.6461317921</v>
      </c>
      <c r="FA148" s="553"/>
      <c r="FD148" s="492"/>
      <c r="FE148" s="476"/>
      <c r="FF148" s="476"/>
      <c r="FG148" s="493"/>
      <c r="FH148" s="492"/>
      <c r="FI148" s="476"/>
      <c r="FJ148" s="476"/>
      <c r="FK148" s="493"/>
      <c r="FL148" s="492"/>
      <c r="FM148" s="476"/>
      <c r="FN148" s="476"/>
      <c r="FO148" s="493"/>
      <c r="FP148" s="492"/>
      <c r="FQ148" s="476"/>
      <c r="FR148" s="476"/>
      <c r="FS148" s="493"/>
      <c r="FT148" s="492"/>
      <c r="FU148" s="476"/>
      <c r="FV148" s="476"/>
      <c r="FW148" s="493"/>
      <c r="FX148" s="492"/>
      <c r="FY148" s="476"/>
      <c r="FZ148" s="476"/>
      <c r="GA148" s="493"/>
      <c r="GB148" s="492"/>
      <c r="GC148" s="476"/>
      <c r="GD148" s="476"/>
      <c r="GE148" s="493"/>
      <c r="GF148" s="492"/>
      <c r="GG148" s="476"/>
      <c r="GH148" s="476"/>
      <c r="GI148" s="493"/>
      <c r="GJ148" s="492"/>
      <c r="GK148" s="476"/>
      <c r="GL148" s="476"/>
      <c r="GM148" s="493"/>
      <c r="GN148" s="492"/>
      <c r="GO148" s="476"/>
      <c r="GP148" s="476"/>
      <c r="GQ148" s="493"/>
      <c r="GR148" s="492"/>
      <c r="GS148" s="476"/>
      <c r="GT148" s="476"/>
      <c r="GU148" s="493"/>
      <c r="GV148" s="492"/>
      <c r="GW148" s="476"/>
      <c r="GX148" s="476"/>
      <c r="GY148" s="493"/>
      <c r="GZ148" s="492"/>
      <c r="HA148" s="476"/>
      <c r="HB148" s="476"/>
      <c r="HC148" s="493"/>
      <c r="HD148" s="576"/>
      <c r="HE148" s="580"/>
      <c r="HF148" s="580"/>
      <c r="HG148" s="918"/>
      <c r="HH148" s="919"/>
      <c r="HI148" s="925"/>
      <c r="HJ148" s="925"/>
      <c r="HK148" s="918"/>
      <c r="HL148" s="919"/>
      <c r="HM148" s="925"/>
      <c r="HN148" s="925"/>
      <c r="HO148" s="918"/>
      <c r="HP148" s="919"/>
      <c r="HQ148" s="925"/>
      <c r="HR148" s="925"/>
      <c r="HS148" s="918"/>
      <c r="HT148" s="919"/>
      <c r="HU148" s="925"/>
      <c r="HV148" s="925"/>
      <c r="HW148" s="918"/>
      <c r="HY148" s="492"/>
      <c r="HZ148" s="476"/>
      <c r="IA148" s="476"/>
      <c r="IB148" s="493"/>
      <c r="IC148" s="492"/>
      <c r="ID148" s="476"/>
      <c r="IE148" s="476"/>
      <c r="IF148" s="493"/>
      <c r="IG148" s="492"/>
      <c r="IH148" s="476"/>
      <c r="II148" s="476"/>
      <c r="IJ148" s="493"/>
    </row>
    <row r="149" spans="1:244">
      <c r="A149" s="554" t="s">
        <v>24</v>
      </c>
      <c r="B149" s="574">
        <v>2061</v>
      </c>
      <c r="C149" s="575"/>
      <c r="D149" s="575"/>
      <c r="E149" s="575"/>
      <c r="F149" s="558"/>
      <c r="G149" s="575"/>
      <c r="H149" s="575"/>
      <c r="I149" s="575"/>
      <c r="J149" s="558"/>
      <c r="K149" s="563"/>
      <c r="L149" s="563"/>
      <c r="M149" s="563"/>
      <c r="N149" s="558"/>
      <c r="O149" s="575"/>
      <c r="P149" s="575"/>
      <c r="Q149" s="575"/>
      <c r="R149" s="558"/>
      <c r="S149" s="476"/>
      <c r="T149" s="476"/>
      <c r="U149" s="476"/>
      <c r="V149" s="493"/>
      <c r="W149" s="476"/>
      <c r="X149" s="476"/>
      <c r="Y149" s="476"/>
      <c r="Z149" s="493"/>
      <c r="AA149" s="507"/>
      <c r="AB149" s="507"/>
      <c r="AC149" s="507"/>
      <c r="AD149" s="507"/>
      <c r="AE149" s="476"/>
      <c r="AF149" s="476"/>
      <c r="AG149" s="476"/>
      <c r="AH149" s="493"/>
      <c r="AI149" s="476"/>
      <c r="AJ149" s="476"/>
      <c r="AK149" s="476"/>
      <c r="AL149" s="493"/>
      <c r="AM149" s="507"/>
      <c r="AN149" s="507"/>
      <c r="AO149" s="507"/>
      <c r="AP149" s="507"/>
      <c r="AQ149" s="476"/>
      <c r="AR149" s="476"/>
      <c r="AS149" s="476"/>
      <c r="AT149" s="493"/>
      <c r="AU149" s="575"/>
      <c r="AV149" s="575"/>
      <c r="AW149" s="575"/>
      <c r="AX149" s="558"/>
      <c r="AY149" s="575"/>
      <c r="AZ149" s="575"/>
      <c r="BA149" s="575"/>
      <c r="BB149" s="558"/>
      <c r="BC149" s="575"/>
      <c r="BD149" s="575"/>
      <c r="BE149" s="575"/>
      <c r="BF149" s="558"/>
      <c r="BG149" s="575"/>
      <c r="BH149" s="575"/>
      <c r="BI149" s="575"/>
      <c r="BJ149" s="558"/>
      <c r="BK149" s="575"/>
      <c r="BL149" s="575"/>
      <c r="BM149" s="575"/>
      <c r="BN149" s="558"/>
      <c r="BO149" s="575"/>
      <c r="BP149" s="575"/>
      <c r="BQ149" s="575"/>
      <c r="BR149" s="558"/>
      <c r="BS149" s="476"/>
      <c r="BT149" s="476"/>
      <c r="BU149" s="476"/>
      <c r="BV149" s="493"/>
      <c r="BW149" s="507"/>
      <c r="BX149" s="507"/>
      <c r="BY149" s="507"/>
      <c r="BZ149" s="507"/>
      <c r="CA149" s="476"/>
      <c r="CB149" s="476"/>
      <c r="CC149" s="476"/>
      <c r="CD149" s="493"/>
      <c r="CE149" s="476"/>
      <c r="CF149" s="476"/>
      <c r="CG149" s="476"/>
      <c r="CH149" s="493"/>
      <c r="CI149" s="507"/>
      <c r="CJ149" s="507"/>
      <c r="CK149" s="507"/>
      <c r="CL149" s="507"/>
      <c r="CM149" s="492"/>
      <c r="CN149" s="507"/>
      <c r="CO149" s="507"/>
      <c r="CP149" s="493"/>
      <c r="CQ149" s="507"/>
      <c r="CR149" s="507"/>
      <c r="CS149" s="507"/>
      <c r="CT149" s="493"/>
      <c r="CU149" s="507"/>
      <c r="CV149" s="507"/>
      <c r="CW149" s="507"/>
      <c r="CX149" s="493"/>
      <c r="CY149" s="492">
        <f>+DA148</f>
        <v>366.86193181816543</v>
      </c>
      <c r="CZ149" s="476">
        <f>+CY$31/12*CY32</f>
        <v>366.86193181818248</v>
      </c>
      <c r="DA149" s="476">
        <f t="shared" si="169"/>
        <v>-1.7053025658242404E-11</v>
      </c>
      <c r="DB149" s="493">
        <f>+CY$28*DA149+CZ149</f>
        <v>366.86193181818055</v>
      </c>
      <c r="DC149" s="492">
        <f>+DE148</f>
        <v>11132.668181820089</v>
      </c>
      <c r="DD149" s="476">
        <f>+DC$31/12*DC32</f>
        <v>11132.668181818181</v>
      </c>
      <c r="DE149" s="476">
        <f t="shared" si="170"/>
        <v>1.9081198843196034E-9</v>
      </c>
      <c r="DF149" s="493">
        <f>+DC$28*DE149+DD149</f>
        <v>11132.668181818395</v>
      </c>
      <c r="DG149" s="492">
        <f>+DI148</f>
        <v>12319.737159090106</v>
      </c>
      <c r="DH149" s="476">
        <f>+DG$31/12*DG32</f>
        <v>12319.73715909091</v>
      </c>
      <c r="DI149" s="476">
        <f t="shared" si="171"/>
        <v>-8.0399331636726856E-10</v>
      </c>
      <c r="DJ149" s="493">
        <f>+DG$28*DI149+DH149</f>
        <v>12319.737159090819</v>
      </c>
      <c r="DK149" s="492">
        <f>+DM148</f>
        <v>91609.801477282308</v>
      </c>
      <c r="DL149" s="476">
        <f>+DK$31/12*DK32</f>
        <v>91609.801477272718</v>
      </c>
      <c r="DM149" s="476">
        <f t="shared" si="172"/>
        <v>9.5897121354937553E-9</v>
      </c>
      <c r="DN149" s="493">
        <f>+DK$28*DM149+DL149</f>
        <v>91609.801477273795</v>
      </c>
      <c r="DO149" s="492">
        <f>+DQ148</f>
        <v>22858.15450757556</v>
      </c>
      <c r="DP149" s="476">
        <f>+DO$31</f>
        <v>19592.703863636354</v>
      </c>
      <c r="DQ149" s="476">
        <f t="shared" ref="DQ149:DQ150" si="231">+DO149-DP149</f>
        <v>3265.4506439392062</v>
      </c>
      <c r="DR149" s="493">
        <f>+DO$28*DQ149+DP149</f>
        <v>19960.2279490814</v>
      </c>
      <c r="DS149" s="492">
        <f>+DU148</f>
        <v>12443.62909090927</v>
      </c>
      <c r="DT149" s="476">
        <f>+DS$31</f>
        <v>8295.7527272726966</v>
      </c>
      <c r="DU149" s="476">
        <f t="shared" si="173"/>
        <v>4147.8763636365729</v>
      </c>
      <c r="DV149" s="493">
        <f>+DS$28*DU149+DT149</f>
        <v>8762.5931830958707</v>
      </c>
      <c r="DW149" s="492">
        <f>+DY148</f>
        <v>1527.2042613635929</v>
      </c>
      <c r="DX149" s="476">
        <f>+DW$31</f>
        <v>1221.7634090909089</v>
      </c>
      <c r="DY149" s="476">
        <f t="shared" si="174"/>
        <v>305.44085227268397</v>
      </c>
      <c r="DZ149" s="493">
        <f>+DW$28*DY149+DX149</f>
        <v>1256.140553972099</v>
      </c>
      <c r="EA149" s="492">
        <f>+EC148</f>
        <v>-13647.244715909288</v>
      </c>
      <c r="EB149" s="476">
        <f>+EA$31</f>
        <v>-7120.3015909091364</v>
      </c>
      <c r="EC149" s="476">
        <f t="shared" si="175"/>
        <v>-6526.9431250001517</v>
      </c>
      <c r="ED149" s="493">
        <f>+EA$28*EC149+EB149</f>
        <v>-7854.9042734576506</v>
      </c>
      <c r="EE149" s="576">
        <f>+EG148</f>
        <v>657692.75954546267</v>
      </c>
      <c r="EF149" s="580">
        <f>+EE$31</f>
        <v>192495.44181818186</v>
      </c>
      <c r="EG149" s="580">
        <f t="shared" si="176"/>
        <v>465197.31772728078</v>
      </c>
      <c r="EH149" s="493">
        <f>+EE$28*EG149+EF149</f>
        <v>244853.06022730906</v>
      </c>
      <c r="EI149" s="576">
        <f>+EK148</f>
        <v>29502.106098484706</v>
      </c>
      <c r="EJ149" s="580">
        <f>+EI$31</f>
        <v>7696.2015909090906</v>
      </c>
      <c r="EK149" s="580">
        <f t="shared" si="177"/>
        <v>21805.904507575615</v>
      </c>
      <c r="EL149" s="493">
        <f>+EI$28*EK149+EJ149</f>
        <v>10150.440219909158</v>
      </c>
      <c r="EM149" s="576">
        <f>+EO148</f>
        <v>1045105.8354545404</v>
      </c>
      <c r="EN149" s="580">
        <f>+EM$31</f>
        <v>261276.45886363636</v>
      </c>
      <c r="EO149" s="580">
        <f t="shared" si="178"/>
        <v>783829.37659090408</v>
      </c>
      <c r="EP149" s="493">
        <f>+EM$28*EO149+EN149</f>
        <v>349495.88282314799</v>
      </c>
      <c r="EQ149" s="576">
        <f>+ES148</f>
        <v>2252610.0265908949</v>
      </c>
      <c r="ER149" s="580">
        <f>+EQ$31</f>
        <v>500580.00590909086</v>
      </c>
      <c r="ES149" s="580">
        <f t="shared" si="179"/>
        <v>1752030.020681804</v>
      </c>
      <c r="ET149" s="493">
        <f>+EQ$28*ES149+ER149</f>
        <v>697769.70535179169</v>
      </c>
      <c r="EU149" s="576">
        <f>+EW148</f>
        <v>2910670.5395454466</v>
      </c>
      <c r="EV149" s="580">
        <f>+EU$31</f>
        <v>646815.67545454553</v>
      </c>
      <c r="EW149" s="580">
        <f t="shared" si="195"/>
        <v>2263854.8640909009</v>
      </c>
      <c r="EX149" s="493">
        <f>+EU$28*EW149+EV149</f>
        <v>901610.88727303979</v>
      </c>
      <c r="EY149" s="582">
        <f t="shared" si="196"/>
        <v>2341433.1020578905</v>
      </c>
      <c r="EZ149" s="557"/>
      <c r="FA149" s="578">
        <f>+EY149</f>
        <v>2341433.1020578905</v>
      </c>
      <c r="FD149" s="492"/>
      <c r="FE149" s="476"/>
      <c r="FF149" s="476"/>
      <c r="FG149" s="493"/>
      <c r="FH149" s="492"/>
      <c r="FI149" s="476"/>
      <c r="FJ149" s="476"/>
      <c r="FK149" s="493"/>
      <c r="FL149" s="492"/>
      <c r="FM149" s="476"/>
      <c r="FN149" s="476"/>
      <c r="FO149" s="493"/>
      <c r="FP149" s="492"/>
      <c r="FQ149" s="476"/>
      <c r="FR149" s="476"/>
      <c r="FS149" s="493"/>
      <c r="FT149" s="492"/>
      <c r="FU149" s="476"/>
      <c r="FV149" s="476"/>
      <c r="FW149" s="493"/>
      <c r="FX149" s="492"/>
      <c r="FY149" s="476"/>
      <c r="FZ149" s="476"/>
      <c r="GA149" s="493"/>
      <c r="GB149" s="492"/>
      <c r="GC149" s="476"/>
      <c r="GD149" s="476"/>
      <c r="GE149" s="493"/>
      <c r="GF149" s="492"/>
      <c r="GG149" s="476"/>
      <c r="GH149" s="476"/>
      <c r="GI149" s="493"/>
      <c r="GJ149" s="492"/>
      <c r="GK149" s="476"/>
      <c r="GL149" s="476"/>
      <c r="GM149" s="493"/>
      <c r="GN149" s="492"/>
      <c r="GO149" s="476"/>
      <c r="GP149" s="476"/>
      <c r="GQ149" s="493"/>
      <c r="GR149" s="492"/>
      <c r="GS149" s="476"/>
      <c r="GT149" s="476"/>
      <c r="GU149" s="493"/>
      <c r="GV149" s="492"/>
      <c r="GW149" s="476"/>
      <c r="GX149" s="476"/>
      <c r="GY149" s="493"/>
      <c r="GZ149" s="492"/>
      <c r="HA149" s="476"/>
      <c r="HB149" s="476"/>
      <c r="HC149" s="493"/>
      <c r="HD149" s="576"/>
      <c r="HE149" s="580"/>
      <c r="HF149" s="580"/>
      <c r="HG149" s="918"/>
      <c r="HH149" s="919"/>
      <c r="HI149" s="925"/>
      <c r="HJ149" s="925"/>
      <c r="HK149" s="918"/>
      <c r="HL149" s="919"/>
      <c r="HM149" s="925"/>
      <c r="HN149" s="925"/>
      <c r="HO149" s="918"/>
      <c r="HP149" s="919"/>
      <c r="HQ149" s="925"/>
      <c r="HR149" s="925"/>
      <c r="HS149" s="918"/>
      <c r="HT149" s="919"/>
      <c r="HU149" s="925"/>
      <c r="HV149" s="925"/>
      <c r="HW149" s="918"/>
      <c r="HY149" s="492"/>
      <c r="HZ149" s="476"/>
      <c r="IA149" s="476"/>
      <c r="IB149" s="493"/>
      <c r="IC149" s="492"/>
      <c r="ID149" s="476"/>
      <c r="IE149" s="476"/>
      <c r="IF149" s="493"/>
      <c r="IG149" s="492"/>
      <c r="IH149" s="476"/>
      <c r="II149" s="476"/>
      <c r="IJ149" s="493"/>
    </row>
    <row r="150" spans="1:244" ht="13">
      <c r="A150" s="554" t="s">
        <v>23</v>
      </c>
      <c r="B150" s="574">
        <v>2061</v>
      </c>
      <c r="C150" s="583"/>
      <c r="D150" s="583"/>
      <c r="E150" s="583"/>
      <c r="F150" s="584"/>
      <c r="G150" s="583"/>
      <c r="H150" s="583"/>
      <c r="I150" s="583"/>
      <c r="J150" s="584"/>
      <c r="K150" s="583"/>
      <c r="L150" s="583"/>
      <c r="M150" s="583"/>
      <c r="N150" s="584"/>
      <c r="O150" s="583"/>
      <c r="P150" s="583"/>
      <c r="Q150" s="583"/>
      <c r="R150" s="584"/>
      <c r="S150" s="585"/>
      <c r="T150" s="585"/>
      <c r="U150" s="585"/>
      <c r="V150" s="586"/>
      <c r="W150" s="585"/>
      <c r="X150" s="585"/>
      <c r="Y150" s="585"/>
      <c r="Z150" s="586"/>
      <c r="AA150" s="587"/>
      <c r="AB150" s="587"/>
      <c r="AC150" s="587"/>
      <c r="AD150" s="587"/>
      <c r="AE150" s="585"/>
      <c r="AF150" s="585"/>
      <c r="AG150" s="585"/>
      <c r="AH150" s="586"/>
      <c r="AI150" s="585"/>
      <c r="AJ150" s="585"/>
      <c r="AK150" s="585"/>
      <c r="AL150" s="586"/>
      <c r="AM150" s="587"/>
      <c r="AN150" s="587"/>
      <c r="AO150" s="587"/>
      <c r="AP150" s="587"/>
      <c r="AQ150" s="585"/>
      <c r="AR150" s="585"/>
      <c r="AS150" s="585"/>
      <c r="AT150" s="586"/>
      <c r="AU150" s="583"/>
      <c r="AV150" s="583"/>
      <c r="AW150" s="583"/>
      <c r="AX150" s="584"/>
      <c r="AY150" s="583"/>
      <c r="AZ150" s="583"/>
      <c r="BA150" s="583"/>
      <c r="BB150" s="584"/>
      <c r="BC150" s="583"/>
      <c r="BD150" s="583"/>
      <c r="BE150" s="583"/>
      <c r="BF150" s="584"/>
      <c r="BG150" s="583"/>
      <c r="BH150" s="583"/>
      <c r="BI150" s="583"/>
      <c r="BJ150" s="584"/>
      <c r="BK150" s="583"/>
      <c r="BL150" s="583"/>
      <c r="BM150" s="583"/>
      <c r="BN150" s="584"/>
      <c r="BO150" s="583"/>
      <c r="BP150" s="583"/>
      <c r="BQ150" s="583"/>
      <c r="BR150" s="584"/>
      <c r="BS150" s="585"/>
      <c r="BT150" s="585"/>
      <c r="BU150" s="585"/>
      <c r="BV150" s="586"/>
      <c r="BW150" s="587"/>
      <c r="BX150" s="587"/>
      <c r="BY150" s="587"/>
      <c r="BZ150" s="587"/>
      <c r="CA150" s="585"/>
      <c r="CB150" s="585"/>
      <c r="CC150" s="585"/>
      <c r="CD150" s="586"/>
      <c r="CE150" s="585"/>
      <c r="CF150" s="585"/>
      <c r="CG150" s="585"/>
      <c r="CH150" s="586"/>
      <c r="CI150" s="587"/>
      <c r="CJ150" s="587"/>
      <c r="CK150" s="587"/>
      <c r="CL150" s="507"/>
      <c r="CM150" s="492"/>
      <c r="CN150" s="587"/>
      <c r="CO150" s="587"/>
      <c r="CP150" s="493"/>
      <c r="CQ150" s="507"/>
      <c r="CR150" s="587"/>
      <c r="CS150" s="587"/>
      <c r="CT150" s="493"/>
      <c r="CU150" s="587"/>
      <c r="CV150" s="587"/>
      <c r="CW150" s="587"/>
      <c r="CX150" s="493"/>
      <c r="CY150" s="492">
        <f>+CY149</f>
        <v>366.86193181816543</v>
      </c>
      <c r="CZ150" s="476">
        <f>+CZ149</f>
        <v>366.86193181818248</v>
      </c>
      <c r="DA150" s="476">
        <f t="shared" si="169"/>
        <v>-1.7053025658242404E-11</v>
      </c>
      <c r="DB150" s="493">
        <f>+CY$29*DA150+CZ150</f>
        <v>366.86193181818055</v>
      </c>
      <c r="DC150" s="492">
        <f>+DC149</f>
        <v>11132.668181820089</v>
      </c>
      <c r="DD150" s="476">
        <f>+DD149</f>
        <v>11132.668181818181</v>
      </c>
      <c r="DE150" s="476">
        <f t="shared" si="170"/>
        <v>1.9081198843196034E-9</v>
      </c>
      <c r="DF150" s="493">
        <f>+DC$29*DE150+DD150</f>
        <v>11132.668181818395</v>
      </c>
      <c r="DG150" s="492">
        <f>+DG149</f>
        <v>12319.737159090106</v>
      </c>
      <c r="DH150" s="476">
        <f>+DH149</f>
        <v>12319.73715909091</v>
      </c>
      <c r="DI150" s="476">
        <f t="shared" si="171"/>
        <v>-8.0399331636726856E-10</v>
      </c>
      <c r="DJ150" s="493">
        <f>+DG$29*DI150+DH150</f>
        <v>12319.737159090819</v>
      </c>
      <c r="DK150" s="492">
        <f>+DK149</f>
        <v>91609.801477282308</v>
      </c>
      <c r="DL150" s="476">
        <f>+DL149</f>
        <v>91609.801477272718</v>
      </c>
      <c r="DM150" s="476">
        <f t="shared" si="172"/>
        <v>9.5897121354937553E-9</v>
      </c>
      <c r="DN150" s="493">
        <f>+DK$29*DM150+DL150</f>
        <v>91609.801477273795</v>
      </c>
      <c r="DO150" s="492">
        <f>+DO149</f>
        <v>22858.15450757556</v>
      </c>
      <c r="DP150" s="476">
        <f>+DP149</f>
        <v>19592.703863636354</v>
      </c>
      <c r="DQ150" s="476">
        <f t="shared" si="231"/>
        <v>3265.4506439392062</v>
      </c>
      <c r="DR150" s="493">
        <f>+DO$29*DQ150+DP150</f>
        <v>19960.2279490814</v>
      </c>
      <c r="DS150" s="492">
        <f>+DS149</f>
        <v>12443.62909090927</v>
      </c>
      <c r="DT150" s="476">
        <f>+DT149</f>
        <v>8295.7527272726966</v>
      </c>
      <c r="DU150" s="476">
        <f t="shared" si="173"/>
        <v>4147.8763636365729</v>
      </c>
      <c r="DV150" s="493">
        <f>+DS$29*DU150+DT150</f>
        <v>8762.5931830958707</v>
      </c>
      <c r="DW150" s="492">
        <f>+DW149</f>
        <v>1527.2042613635929</v>
      </c>
      <c r="DX150" s="476">
        <f>+DX149</f>
        <v>1221.7634090909089</v>
      </c>
      <c r="DY150" s="476">
        <f t="shared" si="174"/>
        <v>305.44085227268397</v>
      </c>
      <c r="DZ150" s="493">
        <f>+DW$29*DY150+DX150</f>
        <v>1256.140553972099</v>
      </c>
      <c r="EA150" s="492">
        <f>+EA149</f>
        <v>-13647.244715909288</v>
      </c>
      <c r="EB150" s="476">
        <f>+EB149</f>
        <v>-7120.3015909091364</v>
      </c>
      <c r="EC150" s="476">
        <f t="shared" si="175"/>
        <v>-6526.9431250001517</v>
      </c>
      <c r="ED150" s="493">
        <f>+EA$29*EC150+EB150</f>
        <v>-7854.9042734576506</v>
      </c>
      <c r="EE150" s="576">
        <f>+EE149</f>
        <v>657692.75954546267</v>
      </c>
      <c r="EF150" s="580">
        <f>+EF149</f>
        <v>192495.44181818186</v>
      </c>
      <c r="EG150" s="580">
        <f t="shared" si="176"/>
        <v>465197.31772728078</v>
      </c>
      <c r="EH150" s="493">
        <f>+EE$29*EG150+EF150</f>
        <v>244853.06022730906</v>
      </c>
      <c r="EI150" s="576">
        <f>+EI149</f>
        <v>29502.106098484706</v>
      </c>
      <c r="EJ150" s="580">
        <f>+EJ149</f>
        <v>7696.2015909090906</v>
      </c>
      <c r="EK150" s="580">
        <f t="shared" si="177"/>
        <v>21805.904507575615</v>
      </c>
      <c r="EL150" s="493">
        <f>+EI$29*EK150+EJ150</f>
        <v>10150.440219909158</v>
      </c>
      <c r="EM150" s="576">
        <f>+EM149</f>
        <v>1045105.8354545404</v>
      </c>
      <c r="EN150" s="580">
        <f>+EN149</f>
        <v>261276.45886363636</v>
      </c>
      <c r="EO150" s="580">
        <f t="shared" si="178"/>
        <v>783829.37659090408</v>
      </c>
      <c r="EP150" s="493">
        <f>+EM$29*EO150+EN150</f>
        <v>349495.88282314799</v>
      </c>
      <c r="EQ150" s="576">
        <f>+EQ149</f>
        <v>2252610.0265908949</v>
      </c>
      <c r="ER150" s="580">
        <f>+ER149</f>
        <v>500580.00590909086</v>
      </c>
      <c r="ES150" s="580">
        <f t="shared" si="179"/>
        <v>1752030.020681804</v>
      </c>
      <c r="ET150" s="493">
        <f>+EQ$29*ES150+ER150</f>
        <v>697769.70535179169</v>
      </c>
      <c r="EU150" s="576">
        <f>+EU149</f>
        <v>2910670.5395454466</v>
      </c>
      <c r="EV150" s="580">
        <f>+EV149</f>
        <v>646815.67545454553</v>
      </c>
      <c r="EW150" s="580">
        <f t="shared" si="195"/>
        <v>2263854.8640909009</v>
      </c>
      <c r="EX150" s="493">
        <f>+EU$29*EW150+EV150</f>
        <v>901610.88727303979</v>
      </c>
      <c r="EY150" s="582">
        <f t="shared" si="196"/>
        <v>2341433.1020578905</v>
      </c>
      <c r="EZ150" s="579">
        <f>+EY150</f>
        <v>2341433.1020578905</v>
      </c>
      <c r="FA150" s="553"/>
      <c r="FD150" s="492"/>
      <c r="FE150" s="476"/>
      <c r="FF150" s="476"/>
      <c r="FG150" s="493"/>
      <c r="FH150" s="492"/>
      <c r="FI150" s="476"/>
      <c r="FJ150" s="476"/>
      <c r="FK150" s="493"/>
      <c r="FL150" s="492"/>
      <c r="FM150" s="476"/>
      <c r="FN150" s="476"/>
      <c r="FO150" s="493"/>
      <c r="FP150" s="492"/>
      <c r="FQ150" s="476"/>
      <c r="FR150" s="476"/>
      <c r="FS150" s="493"/>
      <c r="FT150" s="492"/>
      <c r="FU150" s="476"/>
      <c r="FV150" s="476"/>
      <c r="FW150" s="493"/>
      <c r="FX150" s="492"/>
      <c r="FY150" s="476"/>
      <c r="FZ150" s="476"/>
      <c r="GA150" s="493"/>
      <c r="GB150" s="492"/>
      <c r="GC150" s="476"/>
      <c r="GD150" s="476"/>
      <c r="GE150" s="493"/>
      <c r="GF150" s="492"/>
      <c r="GG150" s="476"/>
      <c r="GH150" s="476"/>
      <c r="GI150" s="493"/>
      <c r="GJ150" s="492"/>
      <c r="GK150" s="476"/>
      <c r="GL150" s="476"/>
      <c r="GM150" s="493"/>
      <c r="GN150" s="492"/>
      <c r="GO150" s="476"/>
      <c r="GP150" s="476"/>
      <c r="GQ150" s="493"/>
      <c r="GR150" s="492"/>
      <c r="GS150" s="476"/>
      <c r="GT150" s="476"/>
      <c r="GU150" s="493"/>
      <c r="GV150" s="492"/>
      <c r="GW150" s="476"/>
      <c r="GX150" s="476"/>
      <c r="GY150" s="493"/>
      <c r="GZ150" s="492"/>
      <c r="HA150" s="476"/>
      <c r="HB150" s="476"/>
      <c r="HC150" s="493"/>
      <c r="HD150" s="576"/>
      <c r="HE150" s="580"/>
      <c r="HF150" s="580"/>
      <c r="HG150" s="918"/>
      <c r="HH150" s="919"/>
      <c r="HI150" s="925"/>
      <c r="HJ150" s="925"/>
      <c r="HK150" s="918"/>
      <c r="HL150" s="919"/>
      <c r="HM150" s="925"/>
      <c r="HN150" s="925"/>
      <c r="HO150" s="918"/>
      <c r="HP150" s="919"/>
      <c r="HQ150" s="925"/>
      <c r="HR150" s="925"/>
      <c r="HS150" s="918"/>
      <c r="HT150" s="919"/>
      <c r="HU150" s="925"/>
      <c r="HV150" s="925"/>
      <c r="HW150" s="918"/>
      <c r="HY150" s="492"/>
      <c r="HZ150" s="476"/>
      <c r="IA150" s="476"/>
      <c r="IB150" s="493"/>
      <c r="IC150" s="492"/>
      <c r="ID150" s="476"/>
      <c r="IE150" s="476"/>
      <c r="IF150" s="493"/>
      <c r="IG150" s="492"/>
      <c r="IH150" s="476"/>
      <c r="II150" s="476"/>
      <c r="IJ150" s="493"/>
    </row>
    <row r="151" spans="1:244" ht="13">
      <c r="A151" s="554" t="s">
        <v>24</v>
      </c>
      <c r="B151" s="574">
        <v>2062</v>
      </c>
      <c r="C151" s="583"/>
      <c r="D151" s="583"/>
      <c r="E151" s="583"/>
      <c r="F151" s="584"/>
      <c r="G151" s="583"/>
      <c r="H151" s="583"/>
      <c r="I151" s="583"/>
      <c r="J151" s="584"/>
      <c r="K151" s="583"/>
      <c r="L151" s="583"/>
      <c r="M151" s="583"/>
      <c r="N151" s="584"/>
      <c r="O151" s="583"/>
      <c r="P151" s="583"/>
      <c r="Q151" s="583"/>
      <c r="R151" s="584"/>
      <c r="S151" s="585"/>
      <c r="T151" s="585"/>
      <c r="U151" s="585"/>
      <c r="V151" s="586"/>
      <c r="W151" s="585"/>
      <c r="X151" s="585"/>
      <c r="Y151" s="585"/>
      <c r="Z151" s="586"/>
      <c r="AA151" s="587"/>
      <c r="AB151" s="587"/>
      <c r="AC151" s="587"/>
      <c r="AD151" s="587"/>
      <c r="AE151" s="585"/>
      <c r="AF151" s="585"/>
      <c r="AG151" s="585"/>
      <c r="AH151" s="586"/>
      <c r="AI151" s="585"/>
      <c r="AJ151" s="585"/>
      <c r="AK151" s="585"/>
      <c r="AL151" s="586"/>
      <c r="AM151" s="587"/>
      <c r="AN151" s="587"/>
      <c r="AO151" s="587"/>
      <c r="AP151" s="587"/>
      <c r="AQ151" s="585"/>
      <c r="AR151" s="585"/>
      <c r="AS151" s="585"/>
      <c r="AT151" s="586"/>
      <c r="AU151" s="583"/>
      <c r="AV151" s="583"/>
      <c r="AW151" s="583"/>
      <c r="AX151" s="584"/>
      <c r="AY151" s="583"/>
      <c r="AZ151" s="583"/>
      <c r="BA151" s="583"/>
      <c r="BB151" s="584"/>
      <c r="BC151" s="583"/>
      <c r="BD151" s="583"/>
      <c r="BE151" s="583"/>
      <c r="BF151" s="584"/>
      <c r="BG151" s="583"/>
      <c r="BH151" s="583"/>
      <c r="BI151" s="583"/>
      <c r="BJ151" s="584"/>
      <c r="BK151" s="583"/>
      <c r="BL151" s="583"/>
      <c r="BM151" s="583"/>
      <c r="BN151" s="584"/>
      <c r="BO151" s="583"/>
      <c r="BP151" s="583"/>
      <c r="BQ151" s="583"/>
      <c r="BR151" s="584"/>
      <c r="BS151" s="585"/>
      <c r="BT151" s="585"/>
      <c r="BU151" s="585"/>
      <c r="BV151" s="586"/>
      <c r="BW151" s="587"/>
      <c r="BX151" s="587"/>
      <c r="BY151" s="587"/>
      <c r="BZ151" s="587"/>
      <c r="CA151" s="585"/>
      <c r="CB151" s="585"/>
      <c r="CC151" s="585"/>
      <c r="CD151" s="586"/>
      <c r="CE151" s="585"/>
      <c r="CF151" s="585"/>
      <c r="CG151" s="585"/>
      <c r="CH151" s="586"/>
      <c r="CI151" s="587"/>
      <c r="CJ151" s="587"/>
      <c r="CK151" s="587"/>
      <c r="CL151" s="507"/>
      <c r="CM151" s="492"/>
      <c r="CN151" s="587"/>
      <c r="CO151" s="587"/>
      <c r="CP151" s="493"/>
      <c r="CQ151" s="507"/>
      <c r="CR151" s="587"/>
      <c r="CS151" s="587"/>
      <c r="CT151" s="493"/>
      <c r="CU151" s="587"/>
      <c r="CV151" s="587"/>
      <c r="CW151" s="587"/>
      <c r="CX151" s="493"/>
      <c r="CY151" s="587"/>
      <c r="CZ151" s="587"/>
      <c r="DA151" s="587"/>
      <c r="DB151" s="493"/>
      <c r="DC151" s="587"/>
      <c r="DD151" s="587"/>
      <c r="DE151" s="587"/>
      <c r="DF151" s="587"/>
      <c r="DG151" s="587"/>
      <c r="DH151" s="587"/>
      <c r="DI151" s="587"/>
      <c r="DJ151" s="493"/>
      <c r="DK151" s="587"/>
      <c r="DL151" s="587"/>
      <c r="DM151" s="587"/>
      <c r="DN151" s="493"/>
      <c r="DO151" s="492">
        <f>+DQ150</f>
        <v>3265.4506439392062</v>
      </c>
      <c r="DP151" s="476">
        <f>+DO$31/12*(12-10)</f>
        <v>3265.4506439393922</v>
      </c>
      <c r="DQ151" s="476">
        <f t="shared" ref="DQ151:DQ152" si="232">+DO151-DP151</f>
        <v>-1.8599166651256382E-10</v>
      </c>
      <c r="DR151" s="493">
        <f>+DO$28*DQ151+DP151</f>
        <v>3265.4506439393713</v>
      </c>
      <c r="DS151" s="492">
        <f>+DU150</f>
        <v>4147.8763636365729</v>
      </c>
      <c r="DT151" s="476">
        <f>+DS$31/12*(12-6)</f>
        <v>4147.8763636363483</v>
      </c>
      <c r="DU151" s="476">
        <f t="shared" si="173"/>
        <v>2.2464519133791327E-10</v>
      </c>
      <c r="DV151" s="493">
        <f>+DS$28*DU151+DT151</f>
        <v>4147.8763636363738</v>
      </c>
      <c r="DW151" s="492">
        <f>+DY150</f>
        <v>305.44085227268397</v>
      </c>
      <c r="DX151" s="476">
        <f>+DW$31/12*(12-9)</f>
        <v>305.44085227272723</v>
      </c>
      <c r="DY151" s="476">
        <f t="shared" si="174"/>
        <v>-4.3257841753074899E-11</v>
      </c>
      <c r="DZ151" s="493">
        <f>+DW$28*DY151+DX151</f>
        <v>305.44085227272234</v>
      </c>
      <c r="EA151" s="492">
        <f>+EC150</f>
        <v>-6526.9431250001517</v>
      </c>
      <c r="EB151" s="476">
        <f>+EA$31/12*(12-1)</f>
        <v>-6526.9431250000416</v>
      </c>
      <c r="EC151" s="476">
        <f t="shared" si="175"/>
        <v>-1.1004885891452432E-10</v>
      </c>
      <c r="ED151" s="493">
        <f>+EA$28*EC151+EB151</f>
        <v>-6526.9431250000544</v>
      </c>
      <c r="EE151" s="576">
        <f>+EG150</f>
        <v>465197.31772728078</v>
      </c>
      <c r="EF151" s="580">
        <f>+EF150</f>
        <v>192495.44181818186</v>
      </c>
      <c r="EG151" s="580">
        <f t="shared" si="176"/>
        <v>272701.87590909889</v>
      </c>
      <c r="EH151" s="493">
        <f>+EE$28*EG151+EF151</f>
        <v>223187.8388166361</v>
      </c>
      <c r="EI151" s="576">
        <f>+EK150</f>
        <v>21805.904507575615</v>
      </c>
      <c r="EJ151" s="580">
        <f>+EJ150</f>
        <v>7696.2015909090906</v>
      </c>
      <c r="EK151" s="580">
        <f t="shared" si="177"/>
        <v>14109.702916666523</v>
      </c>
      <c r="EL151" s="493">
        <f>+EI$28*EK151+EJ151</f>
        <v>9284.2383508503044</v>
      </c>
      <c r="EM151" s="576">
        <f>+EO150</f>
        <v>783829.37659090408</v>
      </c>
      <c r="EN151" s="580">
        <f>+EN150</f>
        <v>261276.45886363636</v>
      </c>
      <c r="EO151" s="580">
        <f t="shared" si="178"/>
        <v>522552.91772726772</v>
      </c>
      <c r="EP151" s="493">
        <f>+EM$28*EO151+EN151</f>
        <v>320089.40816997725</v>
      </c>
      <c r="EQ151" s="576">
        <f>+ES150</f>
        <v>1752030.020681804</v>
      </c>
      <c r="ER151" s="580">
        <f t="shared" ref="ER151:ER156" si="233">+ER150</f>
        <v>500580.00590909086</v>
      </c>
      <c r="ES151" s="580">
        <f t="shared" si="179"/>
        <v>1251450.0147727132</v>
      </c>
      <c r="ET151" s="493">
        <f>+EQ$28*ES151+ER151</f>
        <v>641429.79122530529</v>
      </c>
      <c r="EU151" s="576">
        <f>+EW150</f>
        <v>2263854.8640909009</v>
      </c>
      <c r="EV151" s="580">
        <f t="shared" ref="EV151:EV156" si="234">+EV150</f>
        <v>646815.67545454553</v>
      </c>
      <c r="EW151" s="580">
        <f t="shared" si="195"/>
        <v>1617039.1886363553</v>
      </c>
      <c r="EX151" s="493">
        <f>+EU$28*EW151+EV151</f>
        <v>828812.25532489829</v>
      </c>
      <c r="EY151" s="582">
        <f t="shared" si="196"/>
        <v>2023995.3566225157</v>
      </c>
      <c r="EZ151" s="557"/>
      <c r="FA151" s="578">
        <f>+EY151</f>
        <v>2023995.3566225157</v>
      </c>
      <c r="FD151" s="492"/>
      <c r="FE151" s="476"/>
      <c r="FF151" s="476"/>
      <c r="FG151" s="493"/>
      <c r="FH151" s="492"/>
      <c r="FI151" s="476"/>
      <c r="FJ151" s="476"/>
      <c r="FK151" s="493"/>
      <c r="FL151" s="492"/>
      <c r="FM151" s="476"/>
      <c r="FN151" s="476"/>
      <c r="FO151" s="493"/>
      <c r="FP151" s="492"/>
      <c r="FQ151" s="476"/>
      <c r="FR151" s="476"/>
      <c r="FS151" s="493"/>
      <c r="FT151" s="492"/>
      <c r="FU151" s="476"/>
      <c r="FV151" s="476"/>
      <c r="FW151" s="493"/>
      <c r="FX151" s="492"/>
      <c r="FY151" s="476"/>
      <c r="FZ151" s="476"/>
      <c r="GA151" s="493"/>
      <c r="GB151" s="492"/>
      <c r="GC151" s="476"/>
      <c r="GD151" s="476"/>
      <c r="GE151" s="493"/>
      <c r="GF151" s="492"/>
      <c r="GG151" s="476"/>
      <c r="GH151" s="476"/>
      <c r="GI151" s="493"/>
      <c r="GJ151" s="492"/>
      <c r="GK151" s="476"/>
      <c r="GL151" s="476"/>
      <c r="GM151" s="493"/>
      <c r="GN151" s="492"/>
      <c r="GO151" s="476"/>
      <c r="GP151" s="476"/>
      <c r="GQ151" s="493"/>
      <c r="GR151" s="492"/>
      <c r="GS151" s="476"/>
      <c r="GT151" s="476"/>
      <c r="GU151" s="493"/>
      <c r="GV151" s="492"/>
      <c r="GW151" s="476"/>
      <c r="GX151" s="476"/>
      <c r="GY151" s="493"/>
      <c r="GZ151" s="492"/>
      <c r="HA151" s="476"/>
      <c r="HB151" s="476"/>
      <c r="HC151" s="493"/>
      <c r="HD151" s="576"/>
      <c r="HE151" s="580"/>
      <c r="HF151" s="580"/>
      <c r="HG151" s="918"/>
      <c r="HH151" s="919"/>
      <c r="HI151" s="925"/>
      <c r="HJ151" s="925"/>
      <c r="HK151" s="918"/>
      <c r="HL151" s="919"/>
      <c r="HM151" s="925"/>
      <c r="HN151" s="925"/>
      <c r="HO151" s="918"/>
      <c r="HP151" s="919"/>
      <c r="HQ151" s="925"/>
      <c r="HR151" s="925"/>
      <c r="HS151" s="918"/>
      <c r="HT151" s="919"/>
      <c r="HU151" s="925"/>
      <c r="HV151" s="925"/>
      <c r="HW151" s="918"/>
      <c r="HY151" s="492"/>
      <c r="HZ151" s="476"/>
      <c r="IA151" s="476"/>
      <c r="IB151" s="493"/>
      <c r="IC151" s="492"/>
      <c r="ID151" s="476"/>
      <c r="IE151" s="476"/>
      <c r="IF151" s="493"/>
      <c r="IG151" s="492"/>
      <c r="IH151" s="476"/>
      <c r="II151" s="476"/>
      <c r="IJ151" s="493"/>
    </row>
    <row r="152" spans="1:244" ht="13">
      <c r="A152" s="554" t="s">
        <v>23</v>
      </c>
      <c r="B152" s="574">
        <v>2062</v>
      </c>
      <c r="C152" s="583"/>
      <c r="D152" s="583"/>
      <c r="E152" s="583"/>
      <c r="F152" s="584"/>
      <c r="G152" s="583"/>
      <c r="H152" s="583"/>
      <c r="I152" s="583"/>
      <c r="J152" s="584"/>
      <c r="K152" s="583"/>
      <c r="L152" s="583"/>
      <c r="M152" s="583"/>
      <c r="N152" s="584"/>
      <c r="O152" s="583"/>
      <c r="P152" s="583"/>
      <c r="Q152" s="583"/>
      <c r="R152" s="584"/>
      <c r="S152" s="585"/>
      <c r="T152" s="585"/>
      <c r="U152" s="585"/>
      <c r="V152" s="586"/>
      <c r="W152" s="585"/>
      <c r="X152" s="585"/>
      <c r="Y152" s="585"/>
      <c r="Z152" s="586"/>
      <c r="AA152" s="587"/>
      <c r="AB152" s="587"/>
      <c r="AC152" s="587"/>
      <c r="AD152" s="587"/>
      <c r="AE152" s="585"/>
      <c r="AF152" s="585"/>
      <c r="AG152" s="585"/>
      <c r="AH152" s="586"/>
      <c r="AI152" s="585"/>
      <c r="AJ152" s="585"/>
      <c r="AK152" s="585"/>
      <c r="AL152" s="586"/>
      <c r="AM152" s="587"/>
      <c r="AN152" s="587"/>
      <c r="AO152" s="587"/>
      <c r="AP152" s="587"/>
      <c r="AQ152" s="585"/>
      <c r="AR152" s="585"/>
      <c r="AS152" s="585"/>
      <c r="AT152" s="586"/>
      <c r="AU152" s="583"/>
      <c r="AV152" s="583"/>
      <c r="AW152" s="583"/>
      <c r="AX152" s="584"/>
      <c r="AY152" s="583"/>
      <c r="AZ152" s="583"/>
      <c r="BA152" s="583"/>
      <c r="BB152" s="584"/>
      <c r="BC152" s="583"/>
      <c r="BD152" s="583"/>
      <c r="BE152" s="583"/>
      <c r="BF152" s="584"/>
      <c r="BG152" s="583"/>
      <c r="BH152" s="583"/>
      <c r="BI152" s="583"/>
      <c r="BJ152" s="584"/>
      <c r="BK152" s="583"/>
      <c r="BL152" s="583"/>
      <c r="BM152" s="583"/>
      <c r="BN152" s="584"/>
      <c r="BO152" s="583"/>
      <c r="BP152" s="583"/>
      <c r="BQ152" s="583"/>
      <c r="BR152" s="584"/>
      <c r="BS152" s="585"/>
      <c r="BT152" s="585"/>
      <c r="BU152" s="585"/>
      <c r="BV152" s="586"/>
      <c r="BW152" s="587"/>
      <c r="BX152" s="587"/>
      <c r="BY152" s="587"/>
      <c r="BZ152" s="587"/>
      <c r="CA152" s="585"/>
      <c r="CB152" s="585"/>
      <c r="CC152" s="585"/>
      <c r="CD152" s="586"/>
      <c r="CE152" s="585"/>
      <c r="CF152" s="585"/>
      <c r="CG152" s="585"/>
      <c r="CH152" s="586"/>
      <c r="CI152" s="587"/>
      <c r="CJ152" s="587"/>
      <c r="CK152" s="587"/>
      <c r="CL152" s="507"/>
      <c r="CM152" s="492"/>
      <c r="CN152" s="587"/>
      <c r="CO152" s="587"/>
      <c r="CP152" s="493"/>
      <c r="CQ152" s="507"/>
      <c r="CR152" s="587"/>
      <c r="CS152" s="587"/>
      <c r="CT152" s="493"/>
      <c r="CU152" s="587"/>
      <c r="CV152" s="587"/>
      <c r="CW152" s="587"/>
      <c r="CX152" s="493"/>
      <c r="CY152" s="587"/>
      <c r="CZ152" s="587"/>
      <c r="DA152" s="587"/>
      <c r="DB152" s="493"/>
      <c r="DC152" s="587"/>
      <c r="DD152" s="587"/>
      <c r="DE152" s="587"/>
      <c r="DF152" s="587"/>
      <c r="DG152" s="587"/>
      <c r="DH152" s="587"/>
      <c r="DI152" s="587"/>
      <c r="DJ152" s="493"/>
      <c r="DK152" s="587"/>
      <c r="DL152" s="587"/>
      <c r="DM152" s="587"/>
      <c r="DN152" s="493"/>
      <c r="DO152" s="492">
        <f>+DO151</f>
        <v>3265.4506439392062</v>
      </c>
      <c r="DP152" s="476">
        <f>+DP151</f>
        <v>3265.4506439393922</v>
      </c>
      <c r="DQ152" s="476">
        <f t="shared" si="232"/>
        <v>-1.8599166651256382E-10</v>
      </c>
      <c r="DR152" s="493">
        <f>+DO$29*DQ152+DP152</f>
        <v>3265.4506439393713</v>
      </c>
      <c r="DS152" s="492">
        <f>+DS151</f>
        <v>4147.8763636365729</v>
      </c>
      <c r="DT152" s="476">
        <f>+DT151</f>
        <v>4147.8763636363483</v>
      </c>
      <c r="DU152" s="476">
        <f t="shared" si="173"/>
        <v>2.2464519133791327E-10</v>
      </c>
      <c r="DV152" s="493">
        <f>+DS$29*DU152+DT152</f>
        <v>4147.8763636363738</v>
      </c>
      <c r="DW152" s="492">
        <f>+DW151</f>
        <v>305.44085227268397</v>
      </c>
      <c r="DX152" s="476">
        <f>+DX151</f>
        <v>305.44085227272723</v>
      </c>
      <c r="DY152" s="476">
        <f t="shared" si="174"/>
        <v>-4.3257841753074899E-11</v>
      </c>
      <c r="DZ152" s="493">
        <f>+DW$29*DY152+DX152</f>
        <v>305.44085227272234</v>
      </c>
      <c r="EA152" s="492">
        <f>+EA151</f>
        <v>-6526.9431250001517</v>
      </c>
      <c r="EB152" s="476">
        <f>+EB151</f>
        <v>-6526.9431250000416</v>
      </c>
      <c r="EC152" s="476">
        <f t="shared" si="175"/>
        <v>-1.1004885891452432E-10</v>
      </c>
      <c r="ED152" s="493">
        <f>+EA$29*EC152+EB152</f>
        <v>-6526.9431250000544</v>
      </c>
      <c r="EE152" s="576">
        <f>+EE151</f>
        <v>465197.31772728078</v>
      </c>
      <c r="EF152" s="580">
        <f>+EF151</f>
        <v>192495.44181818186</v>
      </c>
      <c r="EG152" s="580">
        <f t="shared" si="176"/>
        <v>272701.87590909889</v>
      </c>
      <c r="EH152" s="493">
        <f>+EE$29*EG152+EF152</f>
        <v>223187.8388166361</v>
      </c>
      <c r="EI152" s="576">
        <f>+EI151</f>
        <v>21805.904507575615</v>
      </c>
      <c r="EJ152" s="580">
        <f>+EJ151</f>
        <v>7696.2015909090906</v>
      </c>
      <c r="EK152" s="580">
        <f t="shared" si="177"/>
        <v>14109.702916666523</v>
      </c>
      <c r="EL152" s="493">
        <f>+EI$29*EK152+EJ152</f>
        <v>9284.2383508503044</v>
      </c>
      <c r="EM152" s="576">
        <f>+EM151</f>
        <v>783829.37659090408</v>
      </c>
      <c r="EN152" s="580">
        <f>+EN151</f>
        <v>261276.45886363636</v>
      </c>
      <c r="EO152" s="580">
        <f t="shared" si="178"/>
        <v>522552.91772726772</v>
      </c>
      <c r="EP152" s="493">
        <f>+EM$29*EO152+EN152</f>
        <v>320089.40816997725</v>
      </c>
      <c r="EQ152" s="576">
        <f>+EQ151</f>
        <v>1752030.020681804</v>
      </c>
      <c r="ER152" s="580">
        <f t="shared" si="233"/>
        <v>500580.00590909086</v>
      </c>
      <c r="ES152" s="580">
        <f t="shared" si="179"/>
        <v>1251450.0147727132</v>
      </c>
      <c r="ET152" s="493">
        <f>+EQ$29*ES152+ER152</f>
        <v>641429.79122530529</v>
      </c>
      <c r="EU152" s="576">
        <f>+EU151</f>
        <v>2263854.8640909009</v>
      </c>
      <c r="EV152" s="580">
        <f t="shared" si="234"/>
        <v>646815.67545454553</v>
      </c>
      <c r="EW152" s="580">
        <f t="shared" si="195"/>
        <v>1617039.1886363553</v>
      </c>
      <c r="EX152" s="493">
        <f>+EU$29*EW152+EV152</f>
        <v>828812.25532489829</v>
      </c>
      <c r="EY152" s="582">
        <f t="shared" si="196"/>
        <v>2023995.3566225157</v>
      </c>
      <c r="EZ152" s="579">
        <f>+EY152</f>
        <v>2023995.3566225157</v>
      </c>
      <c r="FA152" s="553"/>
      <c r="FD152" s="492"/>
      <c r="FE152" s="476"/>
      <c r="FF152" s="476"/>
      <c r="FG152" s="493"/>
      <c r="FH152" s="492"/>
      <c r="FI152" s="476"/>
      <c r="FJ152" s="476"/>
      <c r="FK152" s="493"/>
      <c r="FL152" s="492"/>
      <c r="FM152" s="476"/>
      <c r="FN152" s="476"/>
      <c r="FO152" s="493"/>
      <c r="FP152" s="492"/>
      <c r="FQ152" s="476"/>
      <c r="FR152" s="476"/>
      <c r="FS152" s="493"/>
      <c r="FT152" s="492"/>
      <c r="FU152" s="476"/>
      <c r="FV152" s="476"/>
      <c r="FW152" s="493"/>
      <c r="FX152" s="492"/>
      <c r="FY152" s="476"/>
      <c r="FZ152" s="476"/>
      <c r="GA152" s="493"/>
      <c r="GB152" s="492"/>
      <c r="GC152" s="476"/>
      <c r="GD152" s="476"/>
      <c r="GE152" s="493"/>
      <c r="GF152" s="492"/>
      <c r="GG152" s="476"/>
      <c r="GH152" s="476"/>
      <c r="GI152" s="493"/>
      <c r="GJ152" s="492"/>
      <c r="GK152" s="476"/>
      <c r="GL152" s="476"/>
      <c r="GM152" s="493"/>
      <c r="GN152" s="492"/>
      <c r="GO152" s="476"/>
      <c r="GP152" s="476"/>
      <c r="GQ152" s="493"/>
      <c r="GR152" s="492"/>
      <c r="GS152" s="476"/>
      <c r="GT152" s="476"/>
      <c r="GU152" s="493"/>
      <c r="GV152" s="492"/>
      <c r="GW152" s="476"/>
      <c r="GX152" s="476"/>
      <c r="GY152" s="493"/>
      <c r="GZ152" s="492"/>
      <c r="HA152" s="476"/>
      <c r="HB152" s="476"/>
      <c r="HC152" s="493"/>
      <c r="HD152" s="576"/>
      <c r="HE152" s="580"/>
      <c r="HF152" s="580"/>
      <c r="HG152" s="918"/>
      <c r="HH152" s="919"/>
      <c r="HI152" s="925"/>
      <c r="HJ152" s="925"/>
      <c r="HK152" s="918"/>
      <c r="HL152" s="919"/>
      <c r="HM152" s="925"/>
      <c r="HN152" s="925"/>
      <c r="HO152" s="918"/>
      <c r="HP152" s="919"/>
      <c r="HQ152" s="925"/>
      <c r="HR152" s="925"/>
      <c r="HS152" s="918"/>
      <c r="HT152" s="919"/>
      <c r="HU152" s="925"/>
      <c r="HV152" s="925"/>
      <c r="HW152" s="918"/>
      <c r="HY152" s="492"/>
      <c r="HZ152" s="476"/>
      <c r="IA152" s="476"/>
      <c r="IB152" s="493"/>
      <c r="IC152" s="492"/>
      <c r="ID152" s="476"/>
      <c r="IE152" s="476"/>
      <c r="IF152" s="493"/>
      <c r="IG152" s="492"/>
      <c r="IH152" s="476"/>
      <c r="II152" s="476"/>
      <c r="IJ152" s="493"/>
    </row>
    <row r="153" spans="1:244" ht="13">
      <c r="A153" s="554" t="s">
        <v>24</v>
      </c>
      <c r="B153" s="574">
        <v>2063</v>
      </c>
      <c r="C153" s="583"/>
      <c r="D153" s="583"/>
      <c r="E153" s="583"/>
      <c r="F153" s="584"/>
      <c r="G153" s="583"/>
      <c r="H153" s="583"/>
      <c r="I153" s="583"/>
      <c r="J153" s="584"/>
      <c r="K153" s="583"/>
      <c r="L153" s="583"/>
      <c r="M153" s="583"/>
      <c r="N153" s="584"/>
      <c r="O153" s="583"/>
      <c r="P153" s="583"/>
      <c r="Q153" s="583"/>
      <c r="R153" s="584"/>
      <c r="S153" s="585"/>
      <c r="T153" s="585"/>
      <c r="U153" s="585"/>
      <c r="V153" s="586"/>
      <c r="W153" s="585"/>
      <c r="X153" s="585"/>
      <c r="Y153" s="585"/>
      <c r="Z153" s="586"/>
      <c r="AA153" s="587"/>
      <c r="AB153" s="587"/>
      <c r="AC153" s="587"/>
      <c r="AD153" s="587"/>
      <c r="AE153" s="585"/>
      <c r="AF153" s="585"/>
      <c r="AG153" s="585"/>
      <c r="AH153" s="586"/>
      <c r="AI153" s="585"/>
      <c r="AJ153" s="585"/>
      <c r="AK153" s="585"/>
      <c r="AL153" s="586"/>
      <c r="AM153" s="587"/>
      <c r="AN153" s="587"/>
      <c r="AO153" s="587"/>
      <c r="AP153" s="587"/>
      <c r="AQ153" s="585"/>
      <c r="AR153" s="585"/>
      <c r="AS153" s="585"/>
      <c r="AT153" s="586"/>
      <c r="AU153" s="583"/>
      <c r="AV153" s="583"/>
      <c r="AW153" s="583"/>
      <c r="AX153" s="584"/>
      <c r="AY153" s="583"/>
      <c r="AZ153" s="583"/>
      <c r="BA153" s="583"/>
      <c r="BB153" s="584"/>
      <c r="BC153" s="583"/>
      <c r="BD153" s="583"/>
      <c r="BE153" s="583"/>
      <c r="BF153" s="584"/>
      <c r="BG153" s="583"/>
      <c r="BH153" s="583"/>
      <c r="BI153" s="583"/>
      <c r="BJ153" s="584"/>
      <c r="BK153" s="583"/>
      <c r="BL153" s="583"/>
      <c r="BM153" s="583"/>
      <c r="BN153" s="584"/>
      <c r="BO153" s="583"/>
      <c r="BP153" s="583"/>
      <c r="BQ153" s="583"/>
      <c r="BR153" s="584"/>
      <c r="BS153" s="585"/>
      <c r="BT153" s="585"/>
      <c r="BU153" s="585"/>
      <c r="BV153" s="586"/>
      <c r="BW153" s="587"/>
      <c r="BX153" s="587"/>
      <c r="BY153" s="587"/>
      <c r="BZ153" s="587"/>
      <c r="CA153" s="585"/>
      <c r="CB153" s="585"/>
      <c r="CC153" s="585"/>
      <c r="CD153" s="586"/>
      <c r="CE153" s="585"/>
      <c r="CF153" s="585"/>
      <c r="CG153" s="585"/>
      <c r="CH153" s="586"/>
      <c r="CI153" s="587"/>
      <c r="CJ153" s="587"/>
      <c r="CK153" s="587"/>
      <c r="CL153" s="507"/>
      <c r="CM153" s="476"/>
      <c r="CN153" s="587"/>
      <c r="CO153" s="587"/>
      <c r="CP153" s="493"/>
      <c r="CQ153" s="507"/>
      <c r="CR153" s="587"/>
      <c r="CS153" s="587"/>
      <c r="CT153" s="493"/>
      <c r="CU153" s="587"/>
      <c r="CV153" s="587"/>
      <c r="CW153" s="587"/>
      <c r="CX153" s="493"/>
      <c r="CY153" s="587"/>
      <c r="CZ153" s="587"/>
      <c r="DA153" s="587"/>
      <c r="DB153" s="493"/>
      <c r="DC153" s="587"/>
      <c r="DD153" s="587"/>
      <c r="DE153" s="587"/>
      <c r="DF153" s="587"/>
      <c r="DG153" s="587"/>
      <c r="DH153" s="587"/>
      <c r="DI153" s="587"/>
      <c r="DJ153" s="493"/>
      <c r="DK153" s="587"/>
      <c r="DL153" s="587"/>
      <c r="DM153" s="587"/>
      <c r="DN153" s="493"/>
      <c r="DO153" s="492"/>
      <c r="DP153" s="476"/>
      <c r="DQ153" s="476"/>
      <c r="DR153" s="493"/>
      <c r="DS153" s="476"/>
      <c r="DT153" s="476"/>
      <c r="DU153" s="476"/>
      <c r="DV153" s="493"/>
      <c r="DW153" s="476"/>
      <c r="DX153" s="476"/>
      <c r="DY153" s="476"/>
      <c r="DZ153" s="493"/>
      <c r="EA153" s="476"/>
      <c r="EB153" s="476"/>
      <c r="EC153" s="476"/>
      <c r="ED153" s="493"/>
      <c r="EE153" s="576">
        <f>+EG152</f>
        <v>272701.87590909889</v>
      </c>
      <c r="EF153" s="580">
        <f>+EF152</f>
        <v>192495.44181818186</v>
      </c>
      <c r="EG153" s="580">
        <f t="shared" si="176"/>
        <v>80206.434090917028</v>
      </c>
      <c r="EH153" s="493">
        <f>+EE$28*EG153+EF153</f>
        <v>201522.61740596316</v>
      </c>
      <c r="EI153" s="576">
        <f>+EK152</f>
        <v>14109.702916666523</v>
      </c>
      <c r="EJ153" s="580">
        <f>+EJ152</f>
        <v>7696.2015909090906</v>
      </c>
      <c r="EK153" s="580">
        <f t="shared" si="177"/>
        <v>6413.5013257574328</v>
      </c>
      <c r="EL153" s="493">
        <f>+EI$28*EK153+EJ153</f>
        <v>8418.0364817914524</v>
      </c>
      <c r="EM153" s="576">
        <f>+EO152</f>
        <v>522552.91772726772</v>
      </c>
      <c r="EN153" s="580">
        <f>+EN152</f>
        <v>261276.45886363636</v>
      </c>
      <c r="EO153" s="580">
        <f t="shared" si="178"/>
        <v>261276.45886363136</v>
      </c>
      <c r="EP153" s="493">
        <f>+EM$28*EO153+EN153</f>
        <v>290682.93351680652</v>
      </c>
      <c r="EQ153" s="576">
        <f>+ES152</f>
        <v>1251450.0147727132</v>
      </c>
      <c r="ER153" s="580">
        <f t="shared" si="233"/>
        <v>500580.00590909086</v>
      </c>
      <c r="ES153" s="580">
        <f t="shared" si="179"/>
        <v>750870.00886362232</v>
      </c>
      <c r="ET153" s="493">
        <f>+EQ$28*ES153+ER153</f>
        <v>585089.87709881889</v>
      </c>
      <c r="EU153" s="576">
        <f>+EW152</f>
        <v>1617039.1886363553</v>
      </c>
      <c r="EV153" s="580">
        <f t="shared" si="234"/>
        <v>646815.67545454553</v>
      </c>
      <c r="EW153" s="580">
        <f t="shared" si="195"/>
        <v>970223.5131818098</v>
      </c>
      <c r="EX153" s="493">
        <f>+EU$28*EW153+EV153</f>
        <v>756013.62337675679</v>
      </c>
      <c r="EY153" s="582">
        <f t="shared" si="196"/>
        <v>1841727.0878801369</v>
      </c>
      <c r="EZ153" s="557"/>
      <c r="FA153" s="578">
        <f>+EY153</f>
        <v>1841727.0878801369</v>
      </c>
      <c r="FD153" s="492"/>
      <c r="FE153" s="476"/>
      <c r="FF153" s="476"/>
      <c r="FG153" s="493"/>
      <c r="FH153" s="492"/>
      <c r="FI153" s="476"/>
      <c r="FJ153" s="476"/>
      <c r="FK153" s="493"/>
      <c r="FL153" s="492"/>
      <c r="FM153" s="476"/>
      <c r="FN153" s="476"/>
      <c r="FO153" s="493"/>
      <c r="FP153" s="492"/>
      <c r="FQ153" s="476"/>
      <c r="FR153" s="476"/>
      <c r="FS153" s="493"/>
      <c r="FT153" s="492"/>
      <c r="FU153" s="476"/>
      <c r="FV153" s="476"/>
      <c r="FW153" s="493"/>
      <c r="FX153" s="492"/>
      <c r="FY153" s="476"/>
      <c r="FZ153" s="476"/>
      <c r="GA153" s="493"/>
      <c r="GB153" s="492"/>
      <c r="GC153" s="476"/>
      <c r="GD153" s="476"/>
      <c r="GE153" s="493"/>
      <c r="GF153" s="492"/>
      <c r="GG153" s="476"/>
      <c r="GH153" s="476"/>
      <c r="GI153" s="493"/>
      <c r="GJ153" s="492"/>
      <c r="GK153" s="476"/>
      <c r="GL153" s="476"/>
      <c r="GM153" s="493"/>
      <c r="GN153" s="492"/>
      <c r="GO153" s="476"/>
      <c r="GP153" s="476"/>
      <c r="GQ153" s="493"/>
      <c r="GR153" s="492"/>
      <c r="GS153" s="476"/>
      <c r="GT153" s="476"/>
      <c r="GU153" s="493"/>
      <c r="GV153" s="492"/>
      <c r="GW153" s="476"/>
      <c r="GX153" s="476"/>
      <c r="GY153" s="493"/>
      <c r="GZ153" s="492"/>
      <c r="HA153" s="476"/>
      <c r="HB153" s="476"/>
      <c r="HC153" s="493"/>
      <c r="HD153" s="576"/>
      <c r="HE153" s="580"/>
      <c r="HF153" s="580"/>
      <c r="HG153" s="918"/>
      <c r="HH153" s="919"/>
      <c r="HI153" s="925"/>
      <c r="HJ153" s="925"/>
      <c r="HK153" s="918"/>
      <c r="HL153" s="919"/>
      <c r="HM153" s="925"/>
      <c r="HN153" s="925"/>
      <c r="HO153" s="918"/>
      <c r="HP153" s="919"/>
      <c r="HQ153" s="925"/>
      <c r="HR153" s="925"/>
      <c r="HS153" s="918"/>
      <c r="HT153" s="919"/>
      <c r="HU153" s="925"/>
      <c r="HV153" s="925"/>
      <c r="HW153" s="918"/>
      <c r="HY153" s="492"/>
      <c r="HZ153" s="476"/>
      <c r="IA153" s="476"/>
      <c r="IB153" s="493"/>
      <c r="IC153" s="492"/>
      <c r="ID153" s="476"/>
      <c r="IE153" s="476"/>
      <c r="IF153" s="493"/>
      <c r="IG153" s="492"/>
      <c r="IH153" s="476"/>
      <c r="II153" s="476"/>
      <c r="IJ153" s="493"/>
    </row>
    <row r="154" spans="1:244" ht="13">
      <c r="A154" s="554" t="s">
        <v>23</v>
      </c>
      <c r="B154" s="574">
        <v>2063</v>
      </c>
      <c r="C154" s="583"/>
      <c r="D154" s="583"/>
      <c r="E154" s="583"/>
      <c r="F154" s="584"/>
      <c r="G154" s="583"/>
      <c r="H154" s="583"/>
      <c r="I154" s="583"/>
      <c r="J154" s="584"/>
      <c r="K154" s="583"/>
      <c r="L154" s="583"/>
      <c r="M154" s="583"/>
      <c r="N154" s="584"/>
      <c r="O154" s="583"/>
      <c r="P154" s="583"/>
      <c r="Q154" s="583"/>
      <c r="R154" s="584"/>
      <c r="S154" s="585"/>
      <c r="T154" s="585"/>
      <c r="U154" s="585"/>
      <c r="V154" s="586"/>
      <c r="W154" s="585"/>
      <c r="X154" s="585"/>
      <c r="Y154" s="585"/>
      <c r="Z154" s="586"/>
      <c r="AA154" s="587"/>
      <c r="AB154" s="587"/>
      <c r="AC154" s="587"/>
      <c r="AD154" s="587"/>
      <c r="AE154" s="585"/>
      <c r="AF154" s="585"/>
      <c r="AG154" s="585"/>
      <c r="AH154" s="586"/>
      <c r="AI154" s="585"/>
      <c r="AJ154" s="585"/>
      <c r="AK154" s="585"/>
      <c r="AL154" s="586"/>
      <c r="AM154" s="587"/>
      <c r="AN154" s="587"/>
      <c r="AO154" s="587"/>
      <c r="AP154" s="587"/>
      <c r="AQ154" s="585"/>
      <c r="AR154" s="585"/>
      <c r="AS154" s="585"/>
      <c r="AT154" s="586"/>
      <c r="AU154" s="583"/>
      <c r="AV154" s="583"/>
      <c r="AW154" s="583"/>
      <c r="AX154" s="584"/>
      <c r="AY154" s="583"/>
      <c r="AZ154" s="583"/>
      <c r="BA154" s="583"/>
      <c r="BB154" s="584"/>
      <c r="BC154" s="583"/>
      <c r="BD154" s="583"/>
      <c r="BE154" s="583"/>
      <c r="BF154" s="584"/>
      <c r="BG154" s="583"/>
      <c r="BH154" s="583"/>
      <c r="BI154" s="583"/>
      <c r="BJ154" s="584"/>
      <c r="BK154" s="583"/>
      <c r="BL154" s="583"/>
      <c r="BM154" s="583"/>
      <c r="BN154" s="584"/>
      <c r="BO154" s="583"/>
      <c r="BP154" s="583"/>
      <c r="BQ154" s="583"/>
      <c r="BR154" s="584"/>
      <c r="BS154" s="585"/>
      <c r="BT154" s="585"/>
      <c r="BU154" s="585"/>
      <c r="BV154" s="586"/>
      <c r="BW154" s="587"/>
      <c r="BX154" s="587"/>
      <c r="BY154" s="587"/>
      <c r="BZ154" s="587"/>
      <c r="CA154" s="585"/>
      <c r="CB154" s="585"/>
      <c r="CC154" s="585"/>
      <c r="CD154" s="586"/>
      <c r="CE154" s="585"/>
      <c r="CF154" s="585"/>
      <c r="CG154" s="585"/>
      <c r="CH154" s="586"/>
      <c r="CI154" s="587"/>
      <c r="CJ154" s="587"/>
      <c r="CK154" s="587"/>
      <c r="CL154" s="507"/>
      <c r="CM154" s="476"/>
      <c r="CN154" s="587"/>
      <c r="CO154" s="587"/>
      <c r="CP154" s="493"/>
      <c r="CQ154" s="507"/>
      <c r="CR154" s="587"/>
      <c r="CS154" s="587"/>
      <c r="CT154" s="493"/>
      <c r="CU154" s="587"/>
      <c r="CV154" s="587"/>
      <c r="CW154" s="587"/>
      <c r="CX154" s="493"/>
      <c r="CY154" s="587"/>
      <c r="CZ154" s="587"/>
      <c r="DA154" s="587"/>
      <c r="DB154" s="493"/>
      <c r="DC154" s="587"/>
      <c r="DD154" s="587"/>
      <c r="DE154" s="587"/>
      <c r="DF154" s="587"/>
      <c r="DG154" s="587"/>
      <c r="DH154" s="587"/>
      <c r="DI154" s="587"/>
      <c r="DJ154" s="493"/>
      <c r="DK154" s="587"/>
      <c r="DL154" s="587"/>
      <c r="DM154" s="587"/>
      <c r="DN154" s="493"/>
      <c r="DO154" s="492"/>
      <c r="DP154" s="476"/>
      <c r="DQ154" s="476"/>
      <c r="DR154" s="493"/>
      <c r="DS154" s="476"/>
      <c r="DT154" s="476"/>
      <c r="DU154" s="476"/>
      <c r="DV154" s="493"/>
      <c r="DW154" s="476"/>
      <c r="DX154" s="476"/>
      <c r="DY154" s="476"/>
      <c r="DZ154" s="493"/>
      <c r="EA154" s="476"/>
      <c r="EB154" s="476"/>
      <c r="EC154" s="476"/>
      <c r="ED154" s="493"/>
      <c r="EE154" s="576">
        <f>+EE153</f>
        <v>272701.87590909889</v>
      </c>
      <c r="EF154" s="580">
        <f>+EF153</f>
        <v>192495.44181818186</v>
      </c>
      <c r="EG154" s="580">
        <f t="shared" si="176"/>
        <v>80206.434090917028</v>
      </c>
      <c r="EH154" s="493">
        <f>+EE$29*EG154+EF154</f>
        <v>201522.61740596316</v>
      </c>
      <c r="EI154" s="576">
        <f>+EI153</f>
        <v>14109.702916666523</v>
      </c>
      <c r="EJ154" s="580">
        <f>+EJ153</f>
        <v>7696.2015909090906</v>
      </c>
      <c r="EK154" s="580">
        <f t="shared" si="177"/>
        <v>6413.5013257574328</v>
      </c>
      <c r="EL154" s="493">
        <f>+EI$29*EK154+EJ154</f>
        <v>8418.0364817914524</v>
      </c>
      <c r="EM154" s="576">
        <f>+EM153</f>
        <v>522552.91772726772</v>
      </c>
      <c r="EN154" s="580">
        <f>+EN153</f>
        <v>261276.45886363636</v>
      </c>
      <c r="EO154" s="580">
        <f t="shared" si="178"/>
        <v>261276.45886363136</v>
      </c>
      <c r="EP154" s="493">
        <f>+EM$29*EO154+EN154</f>
        <v>290682.93351680652</v>
      </c>
      <c r="EQ154" s="576">
        <f>+EQ153</f>
        <v>1251450.0147727132</v>
      </c>
      <c r="ER154" s="580">
        <f t="shared" si="233"/>
        <v>500580.00590909086</v>
      </c>
      <c r="ES154" s="580">
        <f t="shared" si="179"/>
        <v>750870.00886362232</v>
      </c>
      <c r="ET154" s="493">
        <f>+EQ$29*ES154+ER154</f>
        <v>585089.87709881889</v>
      </c>
      <c r="EU154" s="576">
        <f>+EU153</f>
        <v>1617039.1886363553</v>
      </c>
      <c r="EV154" s="580">
        <f t="shared" si="234"/>
        <v>646815.67545454553</v>
      </c>
      <c r="EW154" s="580">
        <f t="shared" si="195"/>
        <v>970223.5131818098</v>
      </c>
      <c r="EX154" s="493">
        <f>+EU$29*EW154+EV154</f>
        <v>756013.62337675679</v>
      </c>
      <c r="EY154" s="582">
        <f t="shared" si="196"/>
        <v>1841727.0878801369</v>
      </c>
      <c r="EZ154" s="579">
        <f>+EY154</f>
        <v>1841727.0878801369</v>
      </c>
      <c r="FA154" s="553"/>
      <c r="FD154" s="492"/>
      <c r="FE154" s="476"/>
      <c r="FF154" s="476"/>
      <c r="FG154" s="493"/>
      <c r="FH154" s="492"/>
      <c r="FI154" s="476"/>
      <c r="FJ154" s="476"/>
      <c r="FK154" s="493"/>
      <c r="FL154" s="492"/>
      <c r="FM154" s="476"/>
      <c r="FN154" s="476"/>
      <c r="FO154" s="493"/>
      <c r="FP154" s="492"/>
      <c r="FQ154" s="476"/>
      <c r="FR154" s="476"/>
      <c r="FS154" s="493"/>
      <c r="FT154" s="492"/>
      <c r="FU154" s="476"/>
      <c r="FV154" s="476"/>
      <c r="FW154" s="493"/>
      <c r="FX154" s="492"/>
      <c r="FY154" s="476"/>
      <c r="FZ154" s="476"/>
      <c r="GA154" s="493"/>
      <c r="GB154" s="492"/>
      <c r="GC154" s="476"/>
      <c r="GD154" s="476"/>
      <c r="GE154" s="493"/>
      <c r="GF154" s="492"/>
      <c r="GG154" s="476"/>
      <c r="GH154" s="476"/>
      <c r="GI154" s="493"/>
      <c r="GJ154" s="492"/>
      <c r="GK154" s="476"/>
      <c r="GL154" s="476"/>
      <c r="GM154" s="493"/>
      <c r="GN154" s="492"/>
      <c r="GO154" s="476"/>
      <c r="GP154" s="476"/>
      <c r="GQ154" s="493"/>
      <c r="GR154" s="492"/>
      <c r="GS154" s="476"/>
      <c r="GT154" s="476"/>
      <c r="GU154" s="493"/>
      <c r="GV154" s="492"/>
      <c r="GW154" s="476"/>
      <c r="GX154" s="476"/>
      <c r="GY154" s="493"/>
      <c r="GZ154" s="492"/>
      <c r="HA154" s="476"/>
      <c r="HB154" s="476"/>
      <c r="HC154" s="493"/>
      <c r="HD154" s="576"/>
      <c r="HE154" s="580"/>
      <c r="HF154" s="580"/>
      <c r="HG154" s="918"/>
      <c r="HH154" s="919"/>
      <c r="HI154" s="925"/>
      <c r="HJ154" s="925"/>
      <c r="HK154" s="918"/>
      <c r="HL154" s="919"/>
      <c r="HM154" s="925"/>
      <c r="HN154" s="925"/>
      <c r="HO154" s="918"/>
      <c r="HP154" s="919"/>
      <c r="HQ154" s="925"/>
      <c r="HR154" s="925"/>
      <c r="HS154" s="918"/>
      <c r="HT154" s="919"/>
      <c r="HU154" s="925"/>
      <c r="HV154" s="925"/>
      <c r="HW154" s="918"/>
      <c r="HY154" s="492"/>
      <c r="HZ154" s="476"/>
      <c r="IA154" s="476"/>
      <c r="IB154" s="493"/>
      <c r="IC154" s="492"/>
      <c r="ID154" s="476"/>
      <c r="IE154" s="476"/>
      <c r="IF154" s="493"/>
      <c r="IG154" s="492"/>
      <c r="IH154" s="476"/>
      <c r="II154" s="476"/>
      <c r="IJ154" s="493"/>
    </row>
    <row r="155" spans="1:244" ht="13">
      <c r="A155" s="554" t="s">
        <v>24</v>
      </c>
      <c r="B155" s="574">
        <v>2064</v>
      </c>
      <c r="C155" s="583"/>
      <c r="D155" s="583"/>
      <c r="E155" s="583"/>
      <c r="F155" s="584"/>
      <c r="G155" s="583"/>
      <c r="H155" s="583"/>
      <c r="I155" s="583"/>
      <c r="J155" s="584"/>
      <c r="K155" s="583"/>
      <c r="L155" s="583"/>
      <c r="M155" s="583"/>
      <c r="N155" s="584"/>
      <c r="O155" s="583"/>
      <c r="P155" s="583"/>
      <c r="Q155" s="583"/>
      <c r="R155" s="584"/>
      <c r="S155" s="585"/>
      <c r="T155" s="585"/>
      <c r="U155" s="585"/>
      <c r="V155" s="586"/>
      <c r="W155" s="585"/>
      <c r="X155" s="585"/>
      <c r="Y155" s="585"/>
      <c r="Z155" s="586"/>
      <c r="AA155" s="587"/>
      <c r="AB155" s="587"/>
      <c r="AC155" s="587"/>
      <c r="AD155" s="587"/>
      <c r="AE155" s="585"/>
      <c r="AF155" s="585"/>
      <c r="AG155" s="585"/>
      <c r="AH155" s="586"/>
      <c r="AI155" s="585"/>
      <c r="AJ155" s="585"/>
      <c r="AK155" s="585"/>
      <c r="AL155" s="586"/>
      <c r="AM155" s="587"/>
      <c r="AN155" s="587"/>
      <c r="AO155" s="587"/>
      <c r="AP155" s="587"/>
      <c r="AQ155" s="585"/>
      <c r="AR155" s="585"/>
      <c r="AS155" s="585"/>
      <c r="AT155" s="586"/>
      <c r="AU155" s="583"/>
      <c r="AV155" s="583"/>
      <c r="AW155" s="583"/>
      <c r="AX155" s="584"/>
      <c r="AY155" s="583"/>
      <c r="AZ155" s="583"/>
      <c r="BA155" s="583"/>
      <c r="BB155" s="584"/>
      <c r="BC155" s="583"/>
      <c r="BD155" s="583"/>
      <c r="BE155" s="583"/>
      <c r="BF155" s="584"/>
      <c r="BG155" s="583"/>
      <c r="BH155" s="583"/>
      <c r="BI155" s="583"/>
      <c r="BJ155" s="584"/>
      <c r="BK155" s="583"/>
      <c r="BL155" s="583"/>
      <c r="BM155" s="583"/>
      <c r="BN155" s="584"/>
      <c r="BO155" s="583"/>
      <c r="BP155" s="583"/>
      <c r="BQ155" s="583"/>
      <c r="BR155" s="584"/>
      <c r="BS155" s="585"/>
      <c r="BT155" s="585"/>
      <c r="BU155" s="585"/>
      <c r="BV155" s="586"/>
      <c r="BW155" s="587"/>
      <c r="BX155" s="587"/>
      <c r="BY155" s="587"/>
      <c r="BZ155" s="587"/>
      <c r="CA155" s="585"/>
      <c r="CB155" s="585"/>
      <c r="CC155" s="585"/>
      <c r="CD155" s="586"/>
      <c r="CE155" s="585"/>
      <c r="CF155" s="585"/>
      <c r="CG155" s="585"/>
      <c r="CH155" s="586"/>
      <c r="CI155" s="587"/>
      <c r="CJ155" s="587"/>
      <c r="CK155" s="587"/>
      <c r="CL155" s="507"/>
      <c r="CM155" s="476"/>
      <c r="CN155" s="587"/>
      <c r="CO155" s="587"/>
      <c r="CP155" s="493"/>
      <c r="CQ155" s="507"/>
      <c r="CR155" s="587"/>
      <c r="CS155" s="587"/>
      <c r="CT155" s="493"/>
      <c r="CU155" s="587"/>
      <c r="CV155" s="587"/>
      <c r="CW155" s="587"/>
      <c r="CX155" s="493"/>
      <c r="CY155" s="587"/>
      <c r="CZ155" s="587"/>
      <c r="DA155" s="587"/>
      <c r="DB155" s="493"/>
      <c r="DC155" s="587"/>
      <c r="DD155" s="587"/>
      <c r="DE155" s="587"/>
      <c r="DF155" s="587"/>
      <c r="DG155" s="587"/>
      <c r="DH155" s="587"/>
      <c r="DI155" s="587"/>
      <c r="DJ155" s="493"/>
      <c r="DK155" s="587"/>
      <c r="DL155" s="587"/>
      <c r="DM155" s="587"/>
      <c r="DN155" s="493"/>
      <c r="DO155" s="492"/>
      <c r="DP155" s="476"/>
      <c r="DQ155" s="476"/>
      <c r="DR155" s="493"/>
      <c r="DS155" s="476"/>
      <c r="DT155" s="476"/>
      <c r="DU155" s="476"/>
      <c r="DV155" s="493"/>
      <c r="DW155" s="476"/>
      <c r="DX155" s="476"/>
      <c r="DY155" s="476"/>
      <c r="DZ155" s="493"/>
      <c r="EA155" s="476"/>
      <c r="EB155" s="476"/>
      <c r="EC155" s="476"/>
      <c r="ED155" s="493"/>
      <c r="EE155" s="576">
        <f>+EG154</f>
        <v>80206.434090917028</v>
      </c>
      <c r="EF155" s="580">
        <f>+EE$31/12*(12-7)</f>
        <v>80206.434090909112</v>
      </c>
      <c r="EG155" s="580">
        <f t="shared" si="176"/>
        <v>7.9162418842315674E-9</v>
      </c>
      <c r="EH155" s="493">
        <f>+EE$28*EG155+EF155</f>
        <v>80206.434090909999</v>
      </c>
      <c r="EI155" s="576">
        <f>+EK154</f>
        <v>6413.5013257574328</v>
      </c>
      <c r="EJ155" s="580">
        <f>+EI$31/12*(12-2)</f>
        <v>6413.5013257575756</v>
      </c>
      <c r="EK155" s="580">
        <f t="shared" si="177"/>
        <v>-1.4279066817834973E-10</v>
      </c>
      <c r="EL155" s="493">
        <f>+EI$28*EK155+EJ155</f>
        <v>6413.5013257575592</v>
      </c>
      <c r="EM155" s="576">
        <f>+EO154</f>
        <v>261276.45886363136</v>
      </c>
      <c r="EN155" s="580">
        <f>+EM$31/12*(12-0)</f>
        <v>261276.45886363636</v>
      </c>
      <c r="EO155" s="580">
        <f t="shared" si="178"/>
        <v>-5.005858838558197E-9</v>
      </c>
      <c r="EP155" s="493">
        <f>+EM$28*EO155+EN155</f>
        <v>261276.45886363581</v>
      </c>
      <c r="EQ155" s="576">
        <f>+ES154</f>
        <v>750870.00886362232</v>
      </c>
      <c r="ER155" s="580">
        <f t="shared" si="233"/>
        <v>500580.00590909086</v>
      </c>
      <c r="ES155" s="580">
        <f t="shared" si="179"/>
        <v>250290.00295453146</v>
      </c>
      <c r="ET155" s="493">
        <f>+EQ$28*ES155+ER155</f>
        <v>528749.96297233249</v>
      </c>
      <c r="EU155" s="576">
        <f>+EW154</f>
        <v>970223.5131818098</v>
      </c>
      <c r="EV155" s="580">
        <f t="shared" si="234"/>
        <v>646815.67545454553</v>
      </c>
      <c r="EW155" s="580">
        <f t="shared" si="195"/>
        <v>323407.83772726427</v>
      </c>
      <c r="EX155" s="493">
        <f>+EU$28*EW155+EV155</f>
        <v>683214.99142861529</v>
      </c>
      <c r="EY155" s="582">
        <f t="shared" si="196"/>
        <v>1559861.3486812511</v>
      </c>
      <c r="EZ155" s="557"/>
      <c r="FA155" s="578">
        <f>+EY155</f>
        <v>1559861.3486812511</v>
      </c>
      <c r="FD155" s="492"/>
      <c r="FE155" s="476"/>
      <c r="FF155" s="476"/>
      <c r="FG155" s="493"/>
      <c r="FH155" s="492"/>
      <c r="FI155" s="476"/>
      <c r="FJ155" s="476"/>
      <c r="FK155" s="493"/>
      <c r="FL155" s="492"/>
      <c r="FM155" s="476"/>
      <c r="FN155" s="476"/>
      <c r="FO155" s="493"/>
      <c r="FP155" s="492"/>
      <c r="FQ155" s="476"/>
      <c r="FR155" s="476"/>
      <c r="FS155" s="493"/>
      <c r="FT155" s="492"/>
      <c r="FU155" s="476"/>
      <c r="FV155" s="476"/>
      <c r="FW155" s="493"/>
      <c r="FX155" s="492"/>
      <c r="FY155" s="476"/>
      <c r="FZ155" s="476"/>
      <c r="GA155" s="493"/>
      <c r="GB155" s="492"/>
      <c r="GC155" s="476"/>
      <c r="GD155" s="476"/>
      <c r="GE155" s="493"/>
      <c r="GF155" s="492"/>
      <c r="GG155" s="476"/>
      <c r="GH155" s="476"/>
      <c r="GI155" s="493"/>
      <c r="GJ155" s="492"/>
      <c r="GK155" s="476"/>
      <c r="GL155" s="476"/>
      <c r="GM155" s="493"/>
      <c r="GN155" s="492"/>
      <c r="GO155" s="476"/>
      <c r="GP155" s="476"/>
      <c r="GQ155" s="493"/>
      <c r="GR155" s="492"/>
      <c r="GS155" s="476"/>
      <c r="GT155" s="476"/>
      <c r="GU155" s="493"/>
      <c r="GV155" s="492"/>
      <c r="GW155" s="476"/>
      <c r="GX155" s="476"/>
      <c r="GY155" s="493"/>
      <c r="GZ155" s="492"/>
      <c r="HA155" s="476"/>
      <c r="HB155" s="476"/>
      <c r="HC155" s="493"/>
      <c r="HD155" s="576"/>
      <c r="HE155" s="580"/>
      <c r="HF155" s="580"/>
      <c r="HG155" s="918"/>
      <c r="HH155" s="919"/>
      <c r="HI155" s="925"/>
      <c r="HJ155" s="925"/>
      <c r="HK155" s="918"/>
      <c r="HL155" s="919"/>
      <c r="HM155" s="925"/>
      <c r="HN155" s="925"/>
      <c r="HO155" s="918"/>
      <c r="HP155" s="919"/>
      <c r="HQ155" s="925"/>
      <c r="HR155" s="925"/>
      <c r="HS155" s="918"/>
      <c r="HT155" s="919"/>
      <c r="HU155" s="925"/>
      <c r="HV155" s="925"/>
      <c r="HW155" s="918"/>
      <c r="HY155" s="492"/>
      <c r="HZ155" s="476"/>
      <c r="IA155" s="476"/>
      <c r="IB155" s="493"/>
      <c r="IC155" s="492"/>
      <c r="ID155" s="476"/>
      <c r="IE155" s="476"/>
      <c r="IF155" s="493"/>
      <c r="IG155" s="492"/>
      <c r="IH155" s="476"/>
      <c r="II155" s="476"/>
      <c r="IJ155" s="493"/>
    </row>
    <row r="156" spans="1:244" ht="13">
      <c r="A156" s="554" t="s">
        <v>23</v>
      </c>
      <c r="B156" s="574">
        <v>2064</v>
      </c>
      <c r="C156" s="583"/>
      <c r="D156" s="583"/>
      <c r="E156" s="583"/>
      <c r="F156" s="584"/>
      <c r="G156" s="583"/>
      <c r="H156" s="583"/>
      <c r="I156" s="583"/>
      <c r="J156" s="584"/>
      <c r="K156" s="583"/>
      <c r="L156" s="583"/>
      <c r="M156" s="583"/>
      <c r="N156" s="584"/>
      <c r="O156" s="583"/>
      <c r="P156" s="583"/>
      <c r="Q156" s="583"/>
      <c r="R156" s="584"/>
      <c r="S156" s="585"/>
      <c r="T156" s="585"/>
      <c r="U156" s="585"/>
      <c r="V156" s="586"/>
      <c r="W156" s="585"/>
      <c r="X156" s="585"/>
      <c r="Y156" s="585"/>
      <c r="Z156" s="586"/>
      <c r="AA156" s="587"/>
      <c r="AB156" s="587"/>
      <c r="AC156" s="587"/>
      <c r="AD156" s="587"/>
      <c r="AE156" s="585"/>
      <c r="AF156" s="585"/>
      <c r="AG156" s="585"/>
      <c r="AH156" s="586"/>
      <c r="AI156" s="585"/>
      <c r="AJ156" s="585"/>
      <c r="AK156" s="585"/>
      <c r="AL156" s="586"/>
      <c r="AM156" s="587"/>
      <c r="AN156" s="587"/>
      <c r="AO156" s="587"/>
      <c r="AP156" s="587"/>
      <c r="AQ156" s="585"/>
      <c r="AR156" s="585"/>
      <c r="AS156" s="585"/>
      <c r="AT156" s="586"/>
      <c r="AU156" s="583"/>
      <c r="AV156" s="583"/>
      <c r="AW156" s="583"/>
      <c r="AX156" s="584"/>
      <c r="AY156" s="583"/>
      <c r="AZ156" s="583"/>
      <c r="BA156" s="583"/>
      <c r="BB156" s="584"/>
      <c r="BC156" s="583"/>
      <c r="BD156" s="583"/>
      <c r="BE156" s="583"/>
      <c r="BF156" s="584"/>
      <c r="BG156" s="583"/>
      <c r="BH156" s="583"/>
      <c r="BI156" s="583"/>
      <c r="BJ156" s="584"/>
      <c r="BK156" s="583"/>
      <c r="BL156" s="583"/>
      <c r="BM156" s="583"/>
      <c r="BN156" s="584"/>
      <c r="BO156" s="583"/>
      <c r="BP156" s="583"/>
      <c r="BQ156" s="583"/>
      <c r="BR156" s="584"/>
      <c r="BS156" s="585"/>
      <c r="BT156" s="585"/>
      <c r="BU156" s="585"/>
      <c r="BV156" s="586"/>
      <c r="BW156" s="587"/>
      <c r="BX156" s="587"/>
      <c r="BY156" s="587"/>
      <c r="BZ156" s="587"/>
      <c r="CA156" s="585"/>
      <c r="CB156" s="585"/>
      <c r="CC156" s="585"/>
      <c r="CD156" s="586"/>
      <c r="CE156" s="585"/>
      <c r="CF156" s="585"/>
      <c r="CG156" s="585"/>
      <c r="CH156" s="586"/>
      <c r="CI156" s="587"/>
      <c r="CJ156" s="587"/>
      <c r="CK156" s="587"/>
      <c r="CL156" s="507"/>
      <c r="CM156" s="476"/>
      <c r="CN156" s="587"/>
      <c r="CO156" s="587"/>
      <c r="CP156" s="493"/>
      <c r="CQ156" s="507"/>
      <c r="CR156" s="587"/>
      <c r="CS156" s="587"/>
      <c r="CT156" s="493"/>
      <c r="CU156" s="587"/>
      <c r="CV156" s="587"/>
      <c r="CW156" s="587"/>
      <c r="CX156" s="493"/>
      <c r="CY156" s="587"/>
      <c r="CZ156" s="587"/>
      <c r="DA156" s="587"/>
      <c r="DB156" s="493"/>
      <c r="DC156" s="587"/>
      <c r="DD156" s="587"/>
      <c r="DE156" s="587"/>
      <c r="DF156" s="587"/>
      <c r="DG156" s="587"/>
      <c r="DH156" s="587"/>
      <c r="DI156" s="587"/>
      <c r="DJ156" s="493"/>
      <c r="DK156" s="587"/>
      <c r="DL156" s="587"/>
      <c r="DM156" s="587"/>
      <c r="DN156" s="493"/>
      <c r="DO156" s="492"/>
      <c r="DP156" s="476"/>
      <c r="DQ156" s="476"/>
      <c r="DR156" s="493"/>
      <c r="DS156" s="476"/>
      <c r="DT156" s="476"/>
      <c r="DU156" s="476"/>
      <c r="DV156" s="493"/>
      <c r="DW156" s="476"/>
      <c r="DX156" s="476"/>
      <c r="DY156" s="476"/>
      <c r="DZ156" s="493"/>
      <c r="EA156" s="476"/>
      <c r="EB156" s="476"/>
      <c r="EC156" s="476"/>
      <c r="ED156" s="493"/>
      <c r="EE156" s="576">
        <f>+EE155</f>
        <v>80206.434090917028</v>
      </c>
      <c r="EF156" s="580">
        <f>+EF155</f>
        <v>80206.434090909112</v>
      </c>
      <c r="EG156" s="580">
        <f t="shared" si="176"/>
        <v>7.9162418842315674E-9</v>
      </c>
      <c r="EH156" s="493">
        <f>+EE$29*EG156+EF156</f>
        <v>80206.434090909999</v>
      </c>
      <c r="EI156" s="576">
        <f>+EI155</f>
        <v>6413.5013257574328</v>
      </c>
      <c r="EJ156" s="580">
        <f>+EJ155</f>
        <v>6413.5013257575756</v>
      </c>
      <c r="EK156" s="580">
        <f t="shared" si="177"/>
        <v>-1.4279066817834973E-10</v>
      </c>
      <c r="EL156" s="493">
        <f>+EI$29*EK156+EJ156</f>
        <v>6413.5013257575592</v>
      </c>
      <c r="EM156" s="576">
        <f>+EM155</f>
        <v>261276.45886363136</v>
      </c>
      <c r="EN156" s="580">
        <f>+EN155</f>
        <v>261276.45886363636</v>
      </c>
      <c r="EO156" s="580">
        <f t="shared" si="178"/>
        <v>-5.005858838558197E-9</v>
      </c>
      <c r="EP156" s="493">
        <f>+EM$29*EO156+EN156</f>
        <v>261276.45886363581</v>
      </c>
      <c r="EQ156" s="576">
        <f>+EQ155</f>
        <v>750870.00886362232</v>
      </c>
      <c r="ER156" s="580">
        <f t="shared" si="233"/>
        <v>500580.00590909086</v>
      </c>
      <c r="ES156" s="580">
        <f t="shared" si="179"/>
        <v>250290.00295453146</v>
      </c>
      <c r="ET156" s="493">
        <f>+EQ$29*ES156+ER156</f>
        <v>528749.96297233249</v>
      </c>
      <c r="EU156" s="576">
        <f>+EU155</f>
        <v>970223.5131818098</v>
      </c>
      <c r="EV156" s="580">
        <f t="shared" si="234"/>
        <v>646815.67545454553</v>
      </c>
      <c r="EW156" s="580">
        <f t="shared" si="195"/>
        <v>323407.83772726427</v>
      </c>
      <c r="EX156" s="493">
        <f>+EU$29*EW156+EV156</f>
        <v>683214.99142861529</v>
      </c>
      <c r="EY156" s="582">
        <f t="shared" si="196"/>
        <v>1559861.3486812511</v>
      </c>
      <c r="EZ156" s="579">
        <f>+EY156</f>
        <v>1559861.3486812511</v>
      </c>
      <c r="FA156" s="553"/>
      <c r="FD156" s="492"/>
      <c r="FE156" s="476"/>
      <c r="FF156" s="476"/>
      <c r="FG156" s="493"/>
      <c r="FH156" s="492"/>
      <c r="FI156" s="476"/>
      <c r="FJ156" s="476"/>
      <c r="FK156" s="493"/>
      <c r="FL156" s="492"/>
      <c r="FM156" s="476"/>
      <c r="FN156" s="476"/>
      <c r="FO156" s="493"/>
      <c r="FP156" s="492"/>
      <c r="FQ156" s="476"/>
      <c r="FR156" s="476"/>
      <c r="FS156" s="493"/>
      <c r="FT156" s="492"/>
      <c r="FU156" s="476"/>
      <c r="FV156" s="476"/>
      <c r="FW156" s="493"/>
      <c r="FX156" s="492"/>
      <c r="FY156" s="476"/>
      <c r="FZ156" s="476"/>
      <c r="GA156" s="493"/>
      <c r="GB156" s="492"/>
      <c r="GC156" s="476"/>
      <c r="GD156" s="476"/>
      <c r="GE156" s="493"/>
      <c r="GF156" s="492"/>
      <c r="GG156" s="476"/>
      <c r="GH156" s="476"/>
      <c r="GI156" s="493"/>
      <c r="GJ156" s="492"/>
      <c r="GK156" s="476"/>
      <c r="GL156" s="476"/>
      <c r="GM156" s="493"/>
      <c r="GN156" s="492"/>
      <c r="GO156" s="476"/>
      <c r="GP156" s="476"/>
      <c r="GQ156" s="493"/>
      <c r="GR156" s="492"/>
      <c r="GS156" s="476"/>
      <c r="GT156" s="476"/>
      <c r="GU156" s="493"/>
      <c r="GV156" s="492"/>
      <c r="GW156" s="476"/>
      <c r="GX156" s="476"/>
      <c r="GY156" s="493"/>
      <c r="GZ156" s="492"/>
      <c r="HA156" s="476"/>
      <c r="HB156" s="476"/>
      <c r="HC156" s="493"/>
      <c r="HD156" s="576"/>
      <c r="HE156" s="580"/>
      <c r="HF156" s="580"/>
      <c r="HG156" s="918"/>
      <c r="HH156" s="919"/>
      <c r="HI156" s="925"/>
      <c r="HJ156" s="925"/>
      <c r="HK156" s="918"/>
      <c r="HL156" s="919"/>
      <c r="HM156" s="925"/>
      <c r="HN156" s="925"/>
      <c r="HO156" s="918"/>
      <c r="HP156" s="919"/>
      <c r="HQ156" s="925"/>
      <c r="HR156" s="925"/>
      <c r="HS156" s="918"/>
      <c r="HT156" s="919"/>
      <c r="HU156" s="925"/>
      <c r="HV156" s="925"/>
      <c r="HW156" s="918"/>
      <c r="HY156" s="492"/>
      <c r="HZ156" s="476"/>
      <c r="IA156" s="476"/>
      <c r="IB156" s="493"/>
      <c r="IC156" s="492"/>
      <c r="ID156" s="476"/>
      <c r="IE156" s="476"/>
      <c r="IF156" s="493"/>
      <c r="IG156" s="492"/>
      <c r="IH156" s="476"/>
      <c r="II156" s="476"/>
      <c r="IJ156" s="493"/>
    </row>
    <row r="157" spans="1:244" ht="13">
      <c r="A157" s="554" t="s">
        <v>24</v>
      </c>
      <c r="B157" s="574">
        <v>2065</v>
      </c>
      <c r="C157" s="583"/>
      <c r="D157" s="583"/>
      <c r="E157" s="583"/>
      <c r="F157" s="584"/>
      <c r="G157" s="583"/>
      <c r="H157" s="583"/>
      <c r="I157" s="583"/>
      <c r="J157" s="584"/>
      <c r="K157" s="583"/>
      <c r="L157" s="583"/>
      <c r="M157" s="583"/>
      <c r="N157" s="584"/>
      <c r="O157" s="583"/>
      <c r="P157" s="583"/>
      <c r="Q157" s="583"/>
      <c r="R157" s="584"/>
      <c r="S157" s="585"/>
      <c r="T157" s="585"/>
      <c r="U157" s="585"/>
      <c r="V157" s="586"/>
      <c r="W157" s="585"/>
      <c r="X157" s="585"/>
      <c r="Y157" s="585"/>
      <c r="Z157" s="586"/>
      <c r="AA157" s="587"/>
      <c r="AB157" s="587"/>
      <c r="AC157" s="587"/>
      <c r="AD157" s="587"/>
      <c r="AE157" s="585"/>
      <c r="AF157" s="585"/>
      <c r="AG157" s="585"/>
      <c r="AH157" s="586"/>
      <c r="AI157" s="585"/>
      <c r="AJ157" s="585"/>
      <c r="AK157" s="585"/>
      <c r="AL157" s="586"/>
      <c r="AM157" s="587"/>
      <c r="AN157" s="587"/>
      <c r="AO157" s="587"/>
      <c r="AP157" s="587"/>
      <c r="AQ157" s="585"/>
      <c r="AR157" s="585"/>
      <c r="AS157" s="585"/>
      <c r="AT157" s="586"/>
      <c r="AU157" s="583"/>
      <c r="AV157" s="583"/>
      <c r="AW157" s="583"/>
      <c r="AX157" s="584"/>
      <c r="AY157" s="583"/>
      <c r="AZ157" s="583"/>
      <c r="BA157" s="583"/>
      <c r="BB157" s="584"/>
      <c r="BC157" s="583"/>
      <c r="BD157" s="583"/>
      <c r="BE157" s="583"/>
      <c r="BF157" s="584"/>
      <c r="BG157" s="583"/>
      <c r="BH157" s="583"/>
      <c r="BI157" s="583"/>
      <c r="BJ157" s="584"/>
      <c r="BK157" s="583"/>
      <c r="BL157" s="583"/>
      <c r="BM157" s="583"/>
      <c r="BN157" s="584"/>
      <c r="BO157" s="583"/>
      <c r="BP157" s="583"/>
      <c r="BQ157" s="583"/>
      <c r="BR157" s="584"/>
      <c r="BS157" s="585"/>
      <c r="BT157" s="585"/>
      <c r="BU157" s="585"/>
      <c r="BV157" s="586"/>
      <c r="BW157" s="587"/>
      <c r="BX157" s="587"/>
      <c r="BY157" s="587"/>
      <c r="BZ157" s="587"/>
      <c r="CA157" s="585"/>
      <c r="CB157" s="585"/>
      <c r="CC157" s="585"/>
      <c r="CD157" s="586"/>
      <c r="CE157" s="585"/>
      <c r="CF157" s="585"/>
      <c r="CG157" s="585"/>
      <c r="CH157" s="586"/>
      <c r="CI157" s="587"/>
      <c r="CJ157" s="587"/>
      <c r="CK157" s="587"/>
      <c r="CL157" s="507"/>
      <c r="CM157" s="476"/>
      <c r="CN157" s="587"/>
      <c r="CO157" s="587"/>
      <c r="CP157" s="493"/>
      <c r="CQ157" s="507"/>
      <c r="CR157" s="587"/>
      <c r="CS157" s="587"/>
      <c r="CT157" s="493"/>
      <c r="CU157" s="587"/>
      <c r="CV157" s="587"/>
      <c r="CW157" s="587"/>
      <c r="CX157" s="493"/>
      <c r="CY157" s="587"/>
      <c r="CZ157" s="587"/>
      <c r="DA157" s="587"/>
      <c r="DB157" s="493"/>
      <c r="DC157" s="587"/>
      <c r="DD157" s="587"/>
      <c r="DE157" s="587"/>
      <c r="DF157" s="587"/>
      <c r="DG157" s="587"/>
      <c r="DH157" s="587"/>
      <c r="DI157" s="587"/>
      <c r="DJ157" s="493"/>
      <c r="DK157" s="587"/>
      <c r="DL157" s="587"/>
      <c r="DM157" s="587"/>
      <c r="DN157" s="493"/>
      <c r="DO157" s="492"/>
      <c r="DP157" s="476"/>
      <c r="DQ157" s="476"/>
      <c r="DR157" s="493"/>
      <c r="DS157" s="476"/>
      <c r="DT157" s="476"/>
      <c r="DU157" s="476"/>
      <c r="DV157" s="493"/>
      <c r="DW157" s="476"/>
      <c r="DX157" s="476"/>
      <c r="DY157" s="476"/>
      <c r="DZ157" s="493"/>
      <c r="EA157" s="476"/>
      <c r="EB157" s="476"/>
      <c r="EC157" s="476"/>
      <c r="ED157" s="493"/>
      <c r="EE157" s="575"/>
      <c r="EF157" s="580"/>
      <c r="EG157" s="580"/>
      <c r="EH157" s="493"/>
      <c r="EI157" s="575"/>
      <c r="EJ157" s="580"/>
      <c r="EK157" s="580"/>
      <c r="EL157" s="493"/>
      <c r="EM157" s="575"/>
      <c r="EN157" s="580"/>
      <c r="EO157" s="580"/>
      <c r="EP157" s="493"/>
      <c r="EQ157" s="576">
        <f>+ES156</f>
        <v>250290.00295453146</v>
      </c>
      <c r="ER157" s="580">
        <f>+EQ$31/12*(12-6)</f>
        <v>250290.00295454543</v>
      </c>
      <c r="ES157" s="580">
        <f t="shared" si="179"/>
        <v>-1.3969838619232178E-8</v>
      </c>
      <c r="ET157" s="493">
        <f>+EQ$28*ES157+ER157</f>
        <v>250290.00295454386</v>
      </c>
      <c r="EU157" s="576">
        <f>+EW156</f>
        <v>323407.83772726427</v>
      </c>
      <c r="EV157" s="580">
        <f>+EU$31/12*(12-6)</f>
        <v>323407.83772727277</v>
      </c>
      <c r="EW157" s="580">
        <f t="shared" si="195"/>
        <v>-8.4983184933662415E-9</v>
      </c>
      <c r="EX157" s="493">
        <f>+EU$28*EW157+EV157</f>
        <v>323407.83772727184</v>
      </c>
      <c r="EY157" s="582">
        <f t="shared" si="196"/>
        <v>573697.84068181575</v>
      </c>
      <c r="EZ157" s="557"/>
      <c r="FA157" s="578">
        <f>+EY157</f>
        <v>573697.84068181575</v>
      </c>
      <c r="FD157" s="492"/>
      <c r="FE157" s="476"/>
      <c r="FF157" s="476"/>
      <c r="FG157" s="493"/>
      <c r="FH157" s="492"/>
      <c r="FI157" s="476"/>
      <c r="FJ157" s="476"/>
      <c r="FK157" s="493"/>
      <c r="FL157" s="492"/>
      <c r="FM157" s="476"/>
      <c r="FN157" s="476"/>
      <c r="FO157" s="493"/>
      <c r="FP157" s="492"/>
      <c r="FQ157" s="476"/>
      <c r="FR157" s="476"/>
      <c r="FS157" s="493"/>
      <c r="FT157" s="492"/>
      <c r="FU157" s="476"/>
      <c r="FV157" s="476"/>
      <c r="FW157" s="493"/>
      <c r="FX157" s="492"/>
      <c r="FY157" s="476"/>
      <c r="FZ157" s="476"/>
      <c r="GA157" s="493"/>
      <c r="GB157" s="492"/>
      <c r="GC157" s="476"/>
      <c r="GD157" s="476"/>
      <c r="GE157" s="493"/>
      <c r="GF157" s="492"/>
      <c r="GG157" s="476"/>
      <c r="GH157" s="476"/>
      <c r="GI157" s="493"/>
      <c r="GJ157" s="492"/>
      <c r="GK157" s="476"/>
      <c r="GL157" s="476"/>
      <c r="GM157" s="493"/>
      <c r="GN157" s="492"/>
      <c r="GO157" s="476"/>
      <c r="GP157" s="476"/>
      <c r="GQ157" s="493"/>
      <c r="GR157" s="492"/>
      <c r="GS157" s="476"/>
      <c r="GT157" s="476"/>
      <c r="GU157" s="493"/>
      <c r="GV157" s="492"/>
      <c r="GW157" s="476"/>
      <c r="GX157" s="476"/>
      <c r="GY157" s="493"/>
      <c r="GZ157" s="492"/>
      <c r="HA157" s="476"/>
      <c r="HB157" s="476"/>
      <c r="HC157" s="493"/>
      <c r="HD157" s="576"/>
      <c r="HE157" s="580"/>
      <c r="HF157" s="580"/>
      <c r="HG157" s="918"/>
      <c r="HH157" s="919"/>
      <c r="HI157" s="925"/>
      <c r="HJ157" s="925"/>
      <c r="HK157" s="918"/>
      <c r="HL157" s="919"/>
      <c r="HM157" s="925"/>
      <c r="HN157" s="925"/>
      <c r="HO157" s="918"/>
      <c r="HP157" s="919"/>
      <c r="HQ157" s="925"/>
      <c r="HR157" s="925"/>
      <c r="HS157" s="918"/>
      <c r="HT157" s="919"/>
      <c r="HU157" s="925"/>
      <c r="HV157" s="925"/>
      <c r="HW157" s="918"/>
      <c r="HY157" s="492"/>
      <c r="HZ157" s="476"/>
      <c r="IA157" s="476"/>
      <c r="IB157" s="493"/>
      <c r="IC157" s="492"/>
      <c r="ID157" s="476"/>
      <c r="IE157" s="476"/>
      <c r="IF157" s="493"/>
      <c r="IG157" s="492"/>
      <c r="IH157" s="476"/>
      <c r="II157" s="476"/>
      <c r="IJ157" s="493"/>
    </row>
    <row r="158" spans="1:244" ht="13">
      <c r="A158" s="554" t="s">
        <v>23</v>
      </c>
      <c r="B158" s="574">
        <v>2065</v>
      </c>
      <c r="C158" s="583"/>
      <c r="D158" s="583"/>
      <c r="E158" s="583"/>
      <c r="F158" s="584"/>
      <c r="G158" s="583"/>
      <c r="H158" s="583"/>
      <c r="I158" s="583"/>
      <c r="J158" s="584"/>
      <c r="K158" s="583"/>
      <c r="L158" s="583"/>
      <c r="M158" s="583"/>
      <c r="N158" s="584"/>
      <c r="O158" s="583"/>
      <c r="P158" s="583"/>
      <c r="Q158" s="583"/>
      <c r="R158" s="584"/>
      <c r="S158" s="585"/>
      <c r="T158" s="585"/>
      <c r="U158" s="585"/>
      <c r="V158" s="586"/>
      <c r="W158" s="585"/>
      <c r="X158" s="585"/>
      <c r="Y158" s="585"/>
      <c r="Z158" s="586"/>
      <c r="AA158" s="587"/>
      <c r="AB158" s="587"/>
      <c r="AC158" s="587"/>
      <c r="AD158" s="587"/>
      <c r="AE158" s="585"/>
      <c r="AF158" s="585"/>
      <c r="AG158" s="585"/>
      <c r="AH158" s="586"/>
      <c r="AI158" s="585"/>
      <c r="AJ158" s="585"/>
      <c r="AK158" s="585"/>
      <c r="AL158" s="586"/>
      <c r="AM158" s="587"/>
      <c r="AN158" s="587"/>
      <c r="AO158" s="587"/>
      <c r="AP158" s="587"/>
      <c r="AQ158" s="585"/>
      <c r="AR158" s="585"/>
      <c r="AS158" s="585"/>
      <c r="AT158" s="586"/>
      <c r="AU158" s="583"/>
      <c r="AV158" s="583"/>
      <c r="AW158" s="583"/>
      <c r="AX158" s="584"/>
      <c r="AY158" s="583"/>
      <c r="AZ158" s="583"/>
      <c r="BA158" s="583"/>
      <c r="BB158" s="584"/>
      <c r="BC158" s="583"/>
      <c r="BD158" s="583"/>
      <c r="BE158" s="583"/>
      <c r="BF158" s="584"/>
      <c r="BG158" s="583"/>
      <c r="BH158" s="583"/>
      <c r="BI158" s="583"/>
      <c r="BJ158" s="584"/>
      <c r="BK158" s="583"/>
      <c r="BL158" s="583"/>
      <c r="BM158" s="583"/>
      <c r="BN158" s="584"/>
      <c r="BO158" s="583"/>
      <c r="BP158" s="583"/>
      <c r="BQ158" s="583"/>
      <c r="BR158" s="584"/>
      <c r="BS158" s="585"/>
      <c r="BT158" s="585"/>
      <c r="BU158" s="585"/>
      <c r="BV158" s="586"/>
      <c r="BW158" s="587"/>
      <c r="BX158" s="587"/>
      <c r="BY158" s="587"/>
      <c r="BZ158" s="587"/>
      <c r="CA158" s="585"/>
      <c r="CB158" s="585"/>
      <c r="CC158" s="585"/>
      <c r="CD158" s="586"/>
      <c r="CE158" s="585"/>
      <c r="CF158" s="585"/>
      <c r="CG158" s="585"/>
      <c r="CH158" s="586"/>
      <c r="CI158" s="587"/>
      <c r="CJ158" s="587"/>
      <c r="CK158" s="587"/>
      <c r="CL158" s="507"/>
      <c r="CM158" s="476"/>
      <c r="CN158" s="587"/>
      <c r="CO158" s="587"/>
      <c r="CP158" s="493"/>
      <c r="CQ158" s="507"/>
      <c r="CR158" s="587"/>
      <c r="CS158" s="587"/>
      <c r="CT158" s="493"/>
      <c r="CU158" s="587"/>
      <c r="CV158" s="587"/>
      <c r="CW158" s="587"/>
      <c r="CX158" s="493"/>
      <c r="CY158" s="587"/>
      <c r="CZ158" s="587"/>
      <c r="DA158" s="587"/>
      <c r="DB158" s="493"/>
      <c r="DC158" s="587"/>
      <c r="DD158" s="587"/>
      <c r="DE158" s="587"/>
      <c r="DF158" s="587"/>
      <c r="DG158" s="587"/>
      <c r="DH158" s="587"/>
      <c r="DI158" s="587"/>
      <c r="DJ158" s="493"/>
      <c r="DK158" s="587"/>
      <c r="DL158" s="587"/>
      <c r="DM158" s="587"/>
      <c r="DN158" s="493"/>
      <c r="DO158" s="492"/>
      <c r="DP158" s="476"/>
      <c r="DQ158" s="476"/>
      <c r="DR158" s="493"/>
      <c r="DS158" s="476"/>
      <c r="DT158" s="476"/>
      <c r="DU158" s="476"/>
      <c r="DV158" s="493"/>
      <c r="DW158" s="476"/>
      <c r="DX158" s="476"/>
      <c r="DY158" s="476"/>
      <c r="DZ158" s="493"/>
      <c r="EA158" s="476"/>
      <c r="EB158" s="476"/>
      <c r="EC158" s="476"/>
      <c r="ED158" s="493"/>
      <c r="EE158" s="575"/>
      <c r="EF158" s="580"/>
      <c r="EG158" s="580"/>
      <c r="EH158" s="493"/>
      <c r="EI158" s="575"/>
      <c r="EJ158" s="580"/>
      <c r="EK158" s="580"/>
      <c r="EL158" s="493"/>
      <c r="EM158" s="575"/>
      <c r="EN158" s="580"/>
      <c r="EO158" s="580"/>
      <c r="EP158" s="493"/>
      <c r="EQ158" s="576">
        <f>+EQ157</f>
        <v>250290.00295453146</v>
      </c>
      <c r="ER158" s="580">
        <f>+ER157</f>
        <v>250290.00295454543</v>
      </c>
      <c r="ES158" s="580">
        <f t="shared" si="179"/>
        <v>-1.3969838619232178E-8</v>
      </c>
      <c r="ET158" s="493">
        <f>+EQ$29*ES158+ER158</f>
        <v>250290.00295454386</v>
      </c>
      <c r="EU158" s="576">
        <f>+EU157</f>
        <v>323407.83772726427</v>
      </c>
      <c r="EV158" s="580">
        <f>+EV157</f>
        <v>323407.83772727277</v>
      </c>
      <c r="EW158" s="580">
        <f t="shared" si="195"/>
        <v>-8.4983184933662415E-9</v>
      </c>
      <c r="EX158" s="493">
        <f>+EU$29*EW158+EV158</f>
        <v>323407.83772727184</v>
      </c>
      <c r="EY158" s="582">
        <f t="shared" si="196"/>
        <v>573697.84068181575</v>
      </c>
      <c r="EZ158" s="579">
        <f>+EY158</f>
        <v>573697.84068181575</v>
      </c>
      <c r="FA158" s="553"/>
      <c r="FD158" s="492"/>
      <c r="FE158" s="476"/>
      <c r="FF158" s="476"/>
      <c r="FG158" s="493"/>
      <c r="FH158" s="492"/>
      <c r="FI158" s="476"/>
      <c r="FJ158" s="476"/>
      <c r="FK158" s="493"/>
      <c r="FL158" s="492"/>
      <c r="FM158" s="476"/>
      <c r="FN158" s="476"/>
      <c r="FO158" s="493"/>
      <c r="FP158" s="492"/>
      <c r="FQ158" s="476"/>
      <c r="FR158" s="476"/>
      <c r="FS158" s="493"/>
      <c r="FT158" s="492"/>
      <c r="FU158" s="476"/>
      <c r="FV158" s="476"/>
      <c r="FW158" s="493"/>
      <c r="FX158" s="492"/>
      <c r="FY158" s="476"/>
      <c r="FZ158" s="476"/>
      <c r="GA158" s="493"/>
      <c r="GB158" s="492"/>
      <c r="GC158" s="476"/>
      <c r="GD158" s="476"/>
      <c r="GE158" s="493"/>
      <c r="GF158" s="492"/>
      <c r="GG158" s="476"/>
      <c r="GH158" s="476"/>
      <c r="GI158" s="493"/>
      <c r="GJ158" s="492"/>
      <c r="GK158" s="476"/>
      <c r="GL158" s="476"/>
      <c r="GM158" s="493"/>
      <c r="GN158" s="492"/>
      <c r="GO158" s="476"/>
      <c r="GP158" s="476"/>
      <c r="GQ158" s="493"/>
      <c r="GR158" s="492"/>
      <c r="GS158" s="476"/>
      <c r="GT158" s="476"/>
      <c r="GU158" s="493"/>
      <c r="GV158" s="492"/>
      <c r="GW158" s="476"/>
      <c r="GX158" s="476"/>
      <c r="GY158" s="493"/>
      <c r="GZ158" s="492"/>
      <c r="HA158" s="476"/>
      <c r="HB158" s="476"/>
      <c r="HC158" s="493"/>
      <c r="HD158" s="576"/>
      <c r="HE158" s="580"/>
      <c r="HF158" s="580"/>
      <c r="HG158" s="918"/>
      <c r="HH158" s="919"/>
      <c r="HI158" s="925"/>
      <c r="HJ158" s="925"/>
      <c r="HK158" s="918"/>
      <c r="HL158" s="919"/>
      <c r="HM158" s="925"/>
      <c r="HN158" s="925"/>
      <c r="HO158" s="918"/>
      <c r="HP158" s="919"/>
      <c r="HQ158" s="925"/>
      <c r="HR158" s="925"/>
      <c r="HS158" s="918"/>
      <c r="HT158" s="919"/>
      <c r="HU158" s="925"/>
      <c r="HV158" s="925"/>
      <c r="HW158" s="918"/>
      <c r="HY158" s="492"/>
      <c r="HZ158" s="476"/>
      <c r="IA158" s="476"/>
      <c r="IB158" s="493"/>
      <c r="IC158" s="492"/>
      <c r="ID158" s="476"/>
      <c r="IE158" s="476"/>
      <c r="IF158" s="493"/>
      <c r="IG158" s="492"/>
      <c r="IH158" s="476"/>
      <c r="II158" s="476"/>
      <c r="IJ158" s="493"/>
    </row>
    <row r="159" spans="1:244" ht="13.5" thickBot="1">
      <c r="A159" s="588" t="s">
        <v>420</v>
      </c>
      <c r="B159" s="589" t="s">
        <v>420</v>
      </c>
      <c r="C159" s="590" t="s">
        <v>420</v>
      </c>
      <c r="D159" s="590" t="s">
        <v>421</v>
      </c>
      <c r="E159" s="590" t="s">
        <v>421</v>
      </c>
      <c r="F159" s="591" t="s">
        <v>420</v>
      </c>
      <c r="G159" s="590" t="s">
        <v>420</v>
      </c>
      <c r="H159" s="590" t="s">
        <v>421</v>
      </c>
      <c r="I159" s="590" t="s">
        <v>421</v>
      </c>
      <c r="J159" s="591" t="s">
        <v>420</v>
      </c>
      <c r="K159" s="590" t="s">
        <v>420</v>
      </c>
      <c r="L159" s="590" t="s">
        <v>421</v>
      </c>
      <c r="M159" s="590" t="s">
        <v>421</v>
      </c>
      <c r="N159" s="591" t="s">
        <v>420</v>
      </c>
      <c r="O159" s="590" t="s">
        <v>420</v>
      </c>
      <c r="P159" s="590" t="s">
        <v>421</v>
      </c>
      <c r="Q159" s="590" t="s">
        <v>421</v>
      </c>
      <c r="R159" s="591" t="s">
        <v>420</v>
      </c>
      <c r="S159" s="592" t="s">
        <v>420</v>
      </c>
      <c r="T159" s="592" t="s">
        <v>421</v>
      </c>
      <c r="U159" s="592" t="s">
        <v>421</v>
      </c>
      <c r="V159" s="593" t="s">
        <v>420</v>
      </c>
      <c r="W159" s="592" t="s">
        <v>420</v>
      </c>
      <c r="X159" s="592" t="s">
        <v>421</v>
      </c>
      <c r="Y159" s="592" t="s">
        <v>421</v>
      </c>
      <c r="Z159" s="593" t="s">
        <v>420</v>
      </c>
      <c r="AA159" s="594"/>
      <c r="AB159" s="594"/>
      <c r="AC159" s="594"/>
      <c r="AD159" s="594"/>
      <c r="AE159" s="592" t="s">
        <v>420</v>
      </c>
      <c r="AF159" s="592" t="s">
        <v>421</v>
      </c>
      <c r="AG159" s="592" t="s">
        <v>421</v>
      </c>
      <c r="AH159" s="593" t="s">
        <v>420</v>
      </c>
      <c r="AI159" s="592" t="s">
        <v>420</v>
      </c>
      <c r="AJ159" s="592" t="s">
        <v>421</v>
      </c>
      <c r="AK159" s="592" t="s">
        <v>421</v>
      </c>
      <c r="AL159" s="593" t="s">
        <v>420</v>
      </c>
      <c r="AM159" s="594"/>
      <c r="AN159" s="594"/>
      <c r="AO159" s="594"/>
      <c r="AP159" s="594"/>
      <c r="AQ159" s="592" t="s">
        <v>420</v>
      </c>
      <c r="AR159" s="592" t="s">
        <v>421</v>
      </c>
      <c r="AS159" s="592" t="s">
        <v>421</v>
      </c>
      <c r="AT159" s="593" t="s">
        <v>420</v>
      </c>
      <c r="AU159" s="590" t="s">
        <v>420</v>
      </c>
      <c r="AV159" s="590" t="s">
        <v>421</v>
      </c>
      <c r="AW159" s="590" t="s">
        <v>421</v>
      </c>
      <c r="AX159" s="591" t="s">
        <v>420</v>
      </c>
      <c r="AY159" s="590" t="s">
        <v>420</v>
      </c>
      <c r="AZ159" s="590" t="s">
        <v>421</v>
      </c>
      <c r="BA159" s="590" t="s">
        <v>421</v>
      </c>
      <c r="BB159" s="591" t="s">
        <v>420</v>
      </c>
      <c r="BC159" s="590" t="s">
        <v>420</v>
      </c>
      <c r="BD159" s="590" t="s">
        <v>421</v>
      </c>
      <c r="BE159" s="590" t="s">
        <v>421</v>
      </c>
      <c r="BF159" s="591" t="s">
        <v>420</v>
      </c>
      <c r="BG159" s="590" t="s">
        <v>420</v>
      </c>
      <c r="BH159" s="590" t="s">
        <v>421</v>
      </c>
      <c r="BI159" s="590" t="s">
        <v>421</v>
      </c>
      <c r="BJ159" s="591" t="s">
        <v>420</v>
      </c>
      <c r="BK159" s="590" t="s">
        <v>420</v>
      </c>
      <c r="BL159" s="590" t="s">
        <v>421</v>
      </c>
      <c r="BM159" s="590" t="s">
        <v>421</v>
      </c>
      <c r="BN159" s="591" t="s">
        <v>420</v>
      </c>
      <c r="BO159" s="590" t="s">
        <v>420</v>
      </c>
      <c r="BP159" s="590" t="s">
        <v>421</v>
      </c>
      <c r="BQ159" s="590" t="s">
        <v>421</v>
      </c>
      <c r="BR159" s="591" t="s">
        <v>420</v>
      </c>
      <c r="BS159" s="591"/>
      <c r="BT159" s="591"/>
      <c r="BU159" s="591"/>
      <c r="BV159" s="591"/>
      <c r="BW159" s="591"/>
      <c r="BX159" s="591"/>
      <c r="BY159" s="591"/>
      <c r="BZ159" s="591"/>
      <c r="CA159" s="591"/>
      <c r="CB159" s="591"/>
      <c r="CC159" s="591"/>
      <c r="CD159" s="591"/>
      <c r="CE159" s="591"/>
      <c r="CF159" s="591"/>
      <c r="CG159" s="591"/>
      <c r="CH159" s="591"/>
      <c r="CI159" s="591"/>
      <c r="CJ159" s="591"/>
      <c r="CK159" s="591"/>
      <c r="CL159" s="591"/>
      <c r="CM159" s="591"/>
      <c r="CN159" s="591"/>
      <c r="CO159" s="591"/>
      <c r="CP159" s="591"/>
      <c r="CQ159" s="591"/>
      <c r="CR159" s="591"/>
      <c r="CS159" s="591"/>
      <c r="CT159" s="591"/>
      <c r="CU159" s="591"/>
      <c r="CV159" s="591"/>
      <c r="CW159" s="591"/>
      <c r="CX159" s="591"/>
      <c r="CY159" s="591"/>
      <c r="CZ159" s="591"/>
      <c r="DA159" s="591"/>
      <c r="DB159" s="591"/>
      <c r="DC159" s="591"/>
      <c r="DD159" s="591"/>
      <c r="DE159" s="591"/>
      <c r="DF159" s="591"/>
      <c r="DG159" s="591"/>
      <c r="DH159" s="591"/>
      <c r="DI159" s="591"/>
      <c r="DJ159" s="591"/>
      <c r="DK159" s="591"/>
      <c r="DL159" s="591"/>
      <c r="DM159" s="591"/>
      <c r="DN159" s="591"/>
      <c r="DO159" s="515"/>
      <c r="DP159" s="516"/>
      <c r="DQ159" s="516"/>
      <c r="DR159" s="510"/>
      <c r="DS159" s="591"/>
      <c r="DT159" s="591"/>
      <c r="DU159" s="591"/>
      <c r="DV159" s="591"/>
      <c r="DW159" s="591"/>
      <c r="DX159" s="591"/>
      <c r="DY159" s="591"/>
      <c r="DZ159" s="591"/>
      <c r="EA159" s="591"/>
      <c r="EB159" s="591"/>
      <c r="EC159" s="591"/>
      <c r="ED159" s="591"/>
      <c r="EE159" s="591"/>
      <c r="EF159" s="591"/>
      <c r="EG159" s="591"/>
      <c r="EH159" s="591"/>
      <c r="EI159" s="591"/>
      <c r="EJ159" s="591"/>
      <c r="EK159" s="591"/>
      <c r="EL159" s="591"/>
      <c r="EM159" s="591"/>
      <c r="EN159" s="591"/>
      <c r="EO159" s="591"/>
      <c r="EP159" s="591"/>
      <c r="EQ159" s="591"/>
      <c r="ER159" s="591"/>
      <c r="ES159" s="591"/>
      <c r="ET159" s="591"/>
      <c r="EU159" s="591"/>
      <c r="EV159" s="591"/>
      <c r="EW159" s="591"/>
      <c r="EX159" s="591"/>
      <c r="EY159" s="595"/>
      <c r="EZ159" s="596"/>
      <c r="FA159" s="570"/>
      <c r="FD159" s="515"/>
      <c r="FE159" s="516"/>
      <c r="FF159" s="516"/>
      <c r="FG159" s="510"/>
      <c r="FH159" s="515"/>
      <c r="FI159" s="516"/>
      <c r="FJ159" s="516"/>
      <c r="FK159" s="510"/>
      <c r="FL159" s="515"/>
      <c r="FM159" s="516"/>
      <c r="FN159" s="516"/>
      <c r="FO159" s="510"/>
      <c r="FP159" s="515"/>
      <c r="FQ159" s="516"/>
      <c r="FR159" s="516"/>
      <c r="FS159" s="510"/>
      <c r="FT159" s="515"/>
      <c r="FU159" s="516"/>
      <c r="FV159" s="516"/>
      <c r="FW159" s="510"/>
      <c r="FX159" s="515"/>
      <c r="FY159" s="516"/>
      <c r="FZ159" s="516"/>
      <c r="GA159" s="510"/>
      <c r="GB159" s="515"/>
      <c r="GC159" s="516"/>
      <c r="GD159" s="516"/>
      <c r="GE159" s="510"/>
      <c r="GF159" s="515"/>
      <c r="GG159" s="516"/>
      <c r="GH159" s="516"/>
      <c r="GI159" s="510"/>
      <c r="GJ159" s="515"/>
      <c r="GK159" s="516"/>
      <c r="GL159" s="516"/>
      <c r="GM159" s="510"/>
      <c r="GN159" s="515"/>
      <c r="GO159" s="516"/>
      <c r="GP159" s="516"/>
      <c r="GQ159" s="510"/>
      <c r="GR159" s="515"/>
      <c r="GS159" s="516"/>
      <c r="GT159" s="516"/>
      <c r="GU159" s="510"/>
      <c r="GV159" s="515"/>
      <c r="GW159" s="516"/>
      <c r="GX159" s="516"/>
      <c r="GY159" s="510"/>
      <c r="GZ159" s="515"/>
      <c r="HA159" s="516"/>
      <c r="HB159" s="516"/>
      <c r="HC159" s="510"/>
      <c r="HD159" s="923"/>
      <c r="HE159" s="924"/>
      <c r="HF159" s="924"/>
      <c r="HG159" s="922"/>
      <c r="HH159" s="920"/>
      <c r="HI159" s="921"/>
      <c r="HJ159" s="921"/>
      <c r="HK159" s="922"/>
      <c r="HL159" s="920"/>
      <c r="HM159" s="921"/>
      <c r="HN159" s="921"/>
      <c r="HO159" s="922"/>
      <c r="HP159" s="920"/>
      <c r="HQ159" s="921"/>
      <c r="HR159" s="921"/>
      <c r="HS159" s="922"/>
      <c r="HT159" s="920"/>
      <c r="HU159" s="921"/>
      <c r="HV159" s="921"/>
      <c r="HW159" s="922"/>
      <c r="HY159" s="515"/>
      <c r="HZ159" s="516"/>
      <c r="IA159" s="516"/>
      <c r="IB159" s="510"/>
      <c r="IC159" s="515"/>
      <c r="ID159" s="516"/>
      <c r="IE159" s="516"/>
      <c r="IF159" s="510"/>
      <c r="IG159" s="515"/>
      <c r="IH159" s="516"/>
      <c r="II159" s="516"/>
      <c r="IJ159" s="510"/>
    </row>
    <row r="160" spans="1:244" ht="13">
      <c r="A160" s="97" t="s">
        <v>272</v>
      </c>
      <c r="B160" s="353"/>
      <c r="C160" s="97"/>
      <c r="D160" s="97"/>
      <c r="E160" s="97"/>
      <c r="F160" s="354"/>
      <c r="G160" s="97"/>
      <c r="H160" s="97"/>
      <c r="I160" s="97"/>
      <c r="J160" s="354"/>
      <c r="K160" s="97"/>
      <c r="L160" s="97"/>
      <c r="M160" s="97"/>
      <c r="N160" s="97"/>
      <c r="O160" s="97"/>
      <c r="P160" s="97"/>
      <c r="Q160" s="97"/>
      <c r="R160" s="97"/>
      <c r="S160" s="97"/>
      <c r="T160" s="97"/>
      <c r="U160" s="97"/>
      <c r="V160" s="97"/>
      <c r="W160" s="97"/>
      <c r="X160" s="97"/>
      <c r="Y160" s="97"/>
      <c r="Z160" s="97"/>
      <c r="AA160" s="97"/>
      <c r="AB160" s="97"/>
      <c r="AC160" s="97"/>
      <c r="AD160" s="97"/>
      <c r="AE160" s="97"/>
      <c r="AF160" s="355"/>
      <c r="AG160" s="355"/>
      <c r="AI160" s="474"/>
      <c r="AJ160" s="474"/>
      <c r="AK160" s="474"/>
      <c r="AL160" s="475"/>
      <c r="AN160" s="474"/>
      <c r="AO160" s="474"/>
      <c r="AP160" s="474"/>
      <c r="AQ160" s="475"/>
      <c r="EU160" s="576"/>
      <c r="EV160" s="580"/>
      <c r="EW160" s="580"/>
      <c r="EX160" s="493"/>
    </row>
    <row r="161" spans="1:120" ht="13">
      <c r="A161" s="472" t="s">
        <v>1</v>
      </c>
      <c r="AI161" s="474"/>
      <c r="AJ161" s="474"/>
      <c r="AK161" s="474"/>
      <c r="AL161" s="475"/>
      <c r="AN161" s="474"/>
      <c r="AO161" s="474"/>
      <c r="AP161" s="474"/>
      <c r="AQ161" s="475"/>
      <c r="CN161" s="580"/>
      <c r="CR161" s="580"/>
      <c r="CV161" s="580"/>
    </row>
    <row r="162" spans="1:120" ht="13">
      <c r="A162" s="472"/>
      <c r="AI162" s="474"/>
      <c r="AJ162" s="474"/>
      <c r="AK162" s="474"/>
      <c r="AL162" s="475"/>
      <c r="AN162" s="474"/>
      <c r="AO162" s="474"/>
      <c r="AP162" s="474"/>
      <c r="AQ162" s="475"/>
      <c r="CN162" s="580"/>
      <c r="CR162" s="580"/>
      <c r="CV162" s="580"/>
      <c r="DP162" s="476"/>
    </row>
    <row r="163" spans="1:120" ht="13">
      <c r="A163" s="472" t="s">
        <v>2</v>
      </c>
      <c r="B163" s="490"/>
      <c r="C163" s="483"/>
      <c r="D163" s="483"/>
      <c r="E163" s="483"/>
      <c r="F163" s="491"/>
      <c r="G163" s="483"/>
      <c r="H163" s="483"/>
      <c r="I163" s="483"/>
      <c r="AF163" s="735"/>
      <c r="AI163" s="474"/>
      <c r="AJ163" s="474"/>
      <c r="AK163" s="474"/>
      <c r="AL163" s="475"/>
      <c r="AN163" s="474"/>
      <c r="AO163" s="474"/>
      <c r="AP163" s="474"/>
      <c r="AQ163" s="475"/>
    </row>
    <row r="164" spans="1:120" s="483" customFormat="1">
      <c r="A164" s="477" t="s">
        <v>651</v>
      </c>
      <c r="B164" s="490"/>
      <c r="F164" s="491"/>
      <c r="J164" s="491"/>
      <c r="AI164" s="474"/>
      <c r="AJ164" s="474"/>
      <c r="AK164" s="474"/>
      <c r="AL164" s="475"/>
      <c r="AN164" s="474"/>
      <c r="AO164" s="474"/>
      <c r="AP164" s="474"/>
      <c r="AQ164" s="475"/>
    </row>
    <row r="165" spans="1:120" s="483" customFormat="1">
      <c r="A165" s="477" t="s">
        <v>650</v>
      </c>
      <c r="B165" s="490"/>
      <c r="F165" s="491"/>
      <c r="J165" s="491"/>
      <c r="AI165" s="474"/>
      <c r="AJ165" s="474"/>
      <c r="AK165" s="474"/>
      <c r="AL165" s="475"/>
      <c r="AN165" s="474"/>
      <c r="AO165" s="474"/>
      <c r="AP165" s="474"/>
      <c r="AQ165" s="475"/>
    </row>
    <row r="166" spans="1:120" s="483" customFormat="1">
      <c r="A166" s="477" t="s">
        <v>652</v>
      </c>
      <c r="B166" s="490"/>
      <c r="F166" s="491"/>
      <c r="J166" s="491"/>
      <c r="AI166" s="474"/>
      <c r="AJ166" s="474"/>
      <c r="AK166" s="474"/>
      <c r="AL166" s="475"/>
      <c r="AN166" s="474"/>
      <c r="AO166" s="474"/>
      <c r="AP166" s="474"/>
      <c r="AQ166" s="475"/>
    </row>
    <row r="167" spans="1:120" s="483" customFormat="1">
      <c r="A167" s="477" t="s">
        <v>653</v>
      </c>
      <c r="B167" s="490"/>
      <c r="F167" s="491"/>
      <c r="J167" s="491"/>
      <c r="AI167" s="474"/>
      <c r="AJ167" s="474"/>
      <c r="AK167" s="474"/>
      <c r="AL167" s="475"/>
      <c r="AN167" s="474"/>
      <c r="AO167" s="474"/>
      <c r="AP167" s="474"/>
      <c r="AQ167" s="475"/>
    </row>
    <row r="168" spans="1:120">
      <c r="AJ168" s="476"/>
      <c r="AK168" s="476"/>
      <c r="AO168" s="476"/>
      <c r="AP168" s="476"/>
    </row>
    <row r="169" spans="1:120" ht="13">
      <c r="A169" s="795" t="s">
        <v>576</v>
      </c>
      <c r="B169" s="796"/>
      <c r="C169" s="797"/>
      <c r="D169" s="797"/>
      <c r="E169" s="797"/>
      <c r="F169" s="798"/>
      <c r="G169" s="797"/>
      <c r="H169" s="797"/>
      <c r="I169" s="797"/>
      <c r="J169" s="798"/>
    </row>
    <row r="170" spans="1:120">
      <c r="A170" s="799" t="s">
        <v>577</v>
      </c>
      <c r="B170" s="796"/>
      <c r="C170" s="797"/>
      <c r="D170" s="797"/>
      <c r="E170" s="797"/>
      <c r="F170" s="798"/>
      <c r="G170" s="797"/>
      <c r="H170" s="797"/>
      <c r="I170" s="797"/>
      <c r="J170" s="798"/>
    </row>
    <row r="171" spans="1:120">
      <c r="A171" s="799" t="s">
        <v>578</v>
      </c>
      <c r="B171" s="796"/>
      <c r="C171" s="797"/>
      <c r="D171" s="797"/>
      <c r="E171" s="797"/>
      <c r="F171" s="798"/>
      <c r="G171" s="797"/>
      <c r="H171" s="797"/>
      <c r="I171" s="797"/>
      <c r="J171" s="798"/>
    </row>
    <row r="172" spans="1:120">
      <c r="A172" s="799" t="s">
        <v>581</v>
      </c>
      <c r="B172" s="796"/>
      <c r="C172" s="797"/>
      <c r="D172" s="797"/>
      <c r="E172" s="797"/>
      <c r="F172" s="798"/>
      <c r="G172" s="797"/>
      <c r="H172" s="797"/>
      <c r="I172" s="797"/>
      <c r="J172" s="798"/>
    </row>
    <row r="173" spans="1:120">
      <c r="A173" s="799" t="s">
        <v>582</v>
      </c>
      <c r="B173" s="796"/>
      <c r="C173" s="797"/>
      <c r="D173" s="797"/>
      <c r="E173" s="797"/>
      <c r="F173" s="798"/>
      <c r="G173" s="797"/>
      <c r="H173" s="797"/>
      <c r="I173" s="797"/>
      <c r="J173" s="798"/>
    </row>
    <row r="174" spans="1:120">
      <c r="A174" s="799" t="s">
        <v>579</v>
      </c>
      <c r="B174" s="796"/>
      <c r="C174" s="797"/>
      <c r="D174" s="797"/>
      <c r="E174" s="797"/>
      <c r="F174" s="798"/>
      <c r="G174" s="797"/>
      <c r="H174" s="797"/>
      <c r="I174" s="797"/>
      <c r="J174" s="798"/>
    </row>
    <row r="175" spans="1:120">
      <c r="A175" s="799" t="s">
        <v>580</v>
      </c>
      <c r="B175" s="796"/>
      <c r="C175" s="797"/>
      <c r="D175" s="797"/>
      <c r="E175" s="797"/>
      <c r="F175" s="798"/>
      <c r="G175" s="797"/>
      <c r="H175" s="797"/>
      <c r="I175" s="797"/>
      <c r="J175" s="798"/>
    </row>
    <row r="176" spans="1:120">
      <c r="A176" s="483"/>
      <c r="B176" s="490"/>
      <c r="C176" s="483"/>
      <c r="D176" s="483"/>
      <c r="E176" s="483"/>
      <c r="F176" s="491"/>
      <c r="G176" s="483"/>
      <c r="H176" s="483"/>
      <c r="I176" s="483"/>
      <c r="J176" s="491"/>
    </row>
    <row r="177" spans="1:10">
      <c r="A177" s="799" t="s">
        <v>663</v>
      </c>
      <c r="B177" s="796"/>
      <c r="C177" s="797"/>
      <c r="D177" s="797"/>
      <c r="E177" s="797"/>
      <c r="F177" s="798"/>
      <c r="G177" s="797"/>
      <c r="H177" s="797"/>
      <c r="I177" s="797"/>
      <c r="J177" s="798"/>
    </row>
    <row r="178" spans="1:10">
      <c r="A178" s="799" t="s">
        <v>664</v>
      </c>
      <c r="B178" s="796"/>
      <c r="C178" s="797"/>
      <c r="D178" s="797"/>
      <c r="E178" s="797"/>
      <c r="F178" s="798"/>
      <c r="G178" s="797"/>
      <c r="H178" s="797"/>
      <c r="I178" s="797"/>
      <c r="J178" s="798"/>
    </row>
    <row r="392" spans="1:6">
      <c r="A392" s="477"/>
      <c r="B392" s="625"/>
      <c r="C392" s="477"/>
      <c r="D392" s="477"/>
      <c r="E392" s="477"/>
      <c r="F392" s="507"/>
    </row>
    <row r="393" spans="1:6">
      <c r="A393" s="477"/>
      <c r="B393" s="625"/>
      <c r="C393" s="477"/>
      <c r="D393" s="477"/>
      <c r="E393" s="477"/>
      <c r="F393" s="507"/>
    </row>
    <row r="394" spans="1:6">
      <c r="A394" s="477"/>
      <c r="B394" s="625"/>
      <c r="C394" s="477"/>
      <c r="D394" s="477"/>
      <c r="E394" s="477"/>
      <c r="F394" s="507"/>
    </row>
    <row r="395" spans="1:6">
      <c r="A395" s="477"/>
      <c r="B395" s="625"/>
      <c r="C395" s="477"/>
      <c r="D395" s="477"/>
      <c r="E395" s="477"/>
      <c r="F395" s="507"/>
    </row>
    <row r="396" spans="1:6">
      <c r="A396" s="477"/>
      <c r="B396" s="625"/>
      <c r="C396" s="477"/>
      <c r="D396" s="477"/>
      <c r="E396" s="477"/>
      <c r="F396" s="507"/>
    </row>
    <row r="397" spans="1:6">
      <c r="A397" s="477"/>
      <c r="B397" s="625"/>
      <c r="C397" s="477"/>
      <c r="D397" s="477"/>
      <c r="E397" s="477"/>
      <c r="F397" s="507"/>
    </row>
    <row r="398" spans="1:6">
      <c r="A398" s="477"/>
      <c r="B398" s="625"/>
      <c r="C398" s="477"/>
      <c r="D398" s="477"/>
      <c r="E398" s="477"/>
      <c r="F398" s="507"/>
    </row>
    <row r="399" spans="1:6">
      <c r="A399" s="477"/>
      <c r="B399" s="625"/>
      <c r="C399" s="477"/>
      <c r="D399" s="477"/>
      <c r="E399" s="477"/>
      <c r="F399" s="507"/>
    </row>
    <row r="400" spans="1:6">
      <c r="A400" s="477"/>
      <c r="B400" s="625"/>
      <c r="C400" s="477"/>
      <c r="D400" s="477"/>
      <c r="E400" s="477"/>
      <c r="F400" s="507"/>
    </row>
  </sheetData>
  <mergeCells count="58">
    <mergeCell ref="BS23:BV23"/>
    <mergeCell ref="BW23:BZ23"/>
    <mergeCell ref="CA23:CD23"/>
    <mergeCell ref="CE23:CH23"/>
    <mergeCell ref="CI23:CL23"/>
    <mergeCell ref="A1:AQ1"/>
    <mergeCell ref="A3:AQ3"/>
    <mergeCell ref="AI23:AL23"/>
    <mergeCell ref="C23:F23"/>
    <mergeCell ref="G23:J23"/>
    <mergeCell ref="K23:N23"/>
    <mergeCell ref="O23:R23"/>
    <mergeCell ref="S23:V23"/>
    <mergeCell ref="W23:Z23"/>
    <mergeCell ref="AA23:AD23"/>
    <mergeCell ref="AE23:AH23"/>
    <mergeCell ref="AM23:AP23"/>
    <mergeCell ref="AQ23:AT23"/>
    <mergeCell ref="IG24:IJ24"/>
    <mergeCell ref="CM23:CP23"/>
    <mergeCell ref="CQ23:CT23"/>
    <mergeCell ref="CU23:CX23"/>
    <mergeCell ref="IC23:IF23"/>
    <mergeCell ref="IC24:IF24"/>
    <mergeCell ref="HY24:IB24"/>
    <mergeCell ref="FD23:FG23"/>
    <mergeCell ref="FL23:FO23"/>
    <mergeCell ref="FT23:FW23"/>
    <mergeCell ref="FX23:GA23"/>
    <mergeCell ref="HY23:IB23"/>
    <mergeCell ref="FH23:FK23"/>
    <mergeCell ref="FP23:FS23"/>
    <mergeCell ref="GB23:GE23"/>
    <mergeCell ref="GF23:GI23"/>
    <mergeCell ref="IG23:IJ23"/>
    <mergeCell ref="GJ23:GM23"/>
    <mergeCell ref="GN23:GQ23"/>
    <mergeCell ref="GR23:GU23"/>
    <mergeCell ref="GV23:GY23"/>
    <mergeCell ref="GZ23:HC23"/>
    <mergeCell ref="HD23:HG23"/>
    <mergeCell ref="HH23:HK23"/>
    <mergeCell ref="HP23:HS23"/>
    <mergeCell ref="HT23:HW23"/>
    <mergeCell ref="EE23:EH23"/>
    <mergeCell ref="EI23:EL23"/>
    <mergeCell ref="EM23:EP23"/>
    <mergeCell ref="HL23:HO23"/>
    <mergeCell ref="CY23:DB23"/>
    <mergeCell ref="DC23:DF23"/>
    <mergeCell ref="DG23:DJ23"/>
    <mergeCell ref="DK23:DN23"/>
    <mergeCell ref="DO23:DR23"/>
    <mergeCell ref="DS23:DV23"/>
    <mergeCell ref="DW23:DZ23"/>
    <mergeCell ref="EA23:ED23"/>
    <mergeCell ref="EU23:EX23"/>
    <mergeCell ref="EQ23:ET23"/>
  </mergeCells>
  <phoneticPr fontId="0" type="noConversion"/>
  <printOptions horizontalCentered="1"/>
  <pageMargins left="0.27" right="0" top="0.39" bottom="0.18" header="0.24" footer="0.22"/>
  <pageSetup paperSize="5" scale="50" fitToHeight="2" orientation="landscape" r:id="rId1"/>
  <headerFooter alignWithMargins="0">
    <oddHeader>&amp;R&amp;"Times New Roman,Bold"&amp;22Appendix A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45"/>
  <sheetViews>
    <sheetView topLeftCell="A4" workbookViewId="0">
      <selection activeCell="H40" sqref="H40"/>
    </sheetView>
  </sheetViews>
  <sheetFormatPr defaultColWidth="9.1796875" defaultRowHeight="12.5"/>
  <cols>
    <col min="1" max="1" width="9.1796875" style="473"/>
    <col min="2" max="2" width="1.453125" style="473" customWidth="1"/>
    <col min="3" max="3" width="2.26953125" style="473" customWidth="1"/>
    <col min="4" max="4" width="43.453125" style="473" customWidth="1"/>
    <col min="5" max="5" width="19.7265625" style="473" customWidth="1"/>
    <col min="6" max="6" width="19.453125" style="473" customWidth="1"/>
    <col min="7" max="7" width="20.54296875" style="473" bestFit="1" customWidth="1"/>
    <col min="8" max="16384" width="9.1796875" style="473"/>
  </cols>
  <sheetData>
    <row r="1" spans="1:8" ht="14">
      <c r="A1" s="1665" t="str">
        <f>+'ATT H-2A'!A4</f>
        <v>Baltimore Gas and Electric Company</v>
      </c>
      <c r="B1" s="1665"/>
      <c r="C1" s="1665"/>
      <c r="D1" s="1665"/>
      <c r="E1" s="1665"/>
      <c r="F1" s="1665"/>
    </row>
    <row r="2" spans="1:8" ht="13">
      <c r="A2" s="101"/>
    </row>
    <row r="3" spans="1:8" ht="15.5">
      <c r="A3" s="1562" t="s">
        <v>51</v>
      </c>
      <c r="B3" s="1664"/>
      <c r="C3" s="1664"/>
      <c r="D3" s="1664"/>
      <c r="E3" s="1664"/>
      <c r="F3" s="1664"/>
    </row>
    <row r="4" spans="1:8">
      <c r="B4" s="61"/>
      <c r="C4" s="704"/>
      <c r="D4" s="704"/>
    </row>
    <row r="5" spans="1:8">
      <c r="A5" s="61"/>
    </row>
    <row r="6" spans="1:8" ht="13">
      <c r="E6" s="102"/>
    </row>
    <row r="8" spans="1:8">
      <c r="B8" s="483"/>
      <c r="C8" s="483"/>
      <c r="D8" s="483"/>
      <c r="E8" s="483"/>
      <c r="F8" s="483"/>
      <c r="G8" s="483"/>
      <c r="H8" s="483"/>
    </row>
    <row r="9" spans="1:8" ht="13">
      <c r="B9" s="103"/>
      <c r="C9" s="103"/>
      <c r="D9" s="103"/>
      <c r="E9" s="103"/>
      <c r="F9" s="103"/>
      <c r="G9" s="103"/>
      <c r="H9" s="483"/>
    </row>
    <row r="10" spans="1:8">
      <c r="B10" s="483"/>
      <c r="C10" s="483"/>
      <c r="D10" s="483"/>
      <c r="E10" s="483"/>
      <c r="F10" s="483"/>
      <c r="G10" s="483"/>
      <c r="H10" s="483"/>
    </row>
    <row r="12" spans="1:8">
      <c r="A12" s="473" t="s">
        <v>384</v>
      </c>
    </row>
    <row r="13" spans="1:8">
      <c r="C13" s="473" t="s">
        <v>144</v>
      </c>
    </row>
    <row r="14" spans="1:8" ht="13">
      <c r="A14" s="101">
        <f>+'ATT H-2A'!A190</f>
        <v>100</v>
      </c>
      <c r="B14" s="101">
        <f>+'ATT H-2A'!B190</f>
        <v>0</v>
      </c>
      <c r="C14" s="101" t="str">
        <f>+'ATT H-2A'!C190</f>
        <v xml:space="preserve">    Less LTD Interest on Securitization Bonds</v>
      </c>
      <c r="D14" s="101"/>
      <c r="E14" s="684">
        <v>0</v>
      </c>
      <c r="F14" s="612"/>
    </row>
    <row r="15" spans="1:8">
      <c r="F15" s="483"/>
    </row>
    <row r="16" spans="1:8">
      <c r="F16" s="483"/>
    </row>
    <row r="17" spans="1:6">
      <c r="C17" s="473" t="s">
        <v>246</v>
      </c>
      <c r="F17" s="483"/>
    </row>
    <row r="18" spans="1:6" ht="13">
      <c r="A18" s="101">
        <f>+'ATT H-2A'!A207</f>
        <v>111</v>
      </c>
      <c r="C18" s="101" t="str">
        <f>+'ATT H-2A'!C207</f>
        <v xml:space="preserve">      Less LTD on Securitization Bonds</v>
      </c>
      <c r="D18" s="101"/>
      <c r="E18" s="684">
        <v>0</v>
      </c>
      <c r="F18" s="612"/>
    </row>
    <row r="21" spans="1:6">
      <c r="C21" s="483" t="s">
        <v>569</v>
      </c>
      <c r="D21" s="483"/>
      <c r="E21" s="483"/>
    </row>
    <row r="22" spans="1:6">
      <c r="D22" s="736"/>
      <c r="E22" s="736"/>
      <c r="F22" s="736"/>
    </row>
    <row r="23" spans="1:6">
      <c r="D23" s="736"/>
      <c r="E23" s="736"/>
      <c r="F23" s="736"/>
    </row>
    <row r="24" spans="1:6">
      <c r="D24" s="736"/>
      <c r="E24" s="736"/>
      <c r="F24" s="736"/>
    </row>
    <row r="25" spans="1:6">
      <c r="D25" s="736"/>
      <c r="E25" s="736"/>
      <c r="F25" s="736"/>
    </row>
    <row r="26" spans="1:6">
      <c r="D26" s="736"/>
      <c r="E26" s="736"/>
      <c r="F26" s="736"/>
    </row>
    <row r="27" spans="1:6">
      <c r="D27" s="736"/>
      <c r="E27" s="736"/>
      <c r="F27" s="736"/>
    </row>
    <row r="28" spans="1:6">
      <c r="D28" s="736"/>
      <c r="E28" s="736"/>
      <c r="F28" s="736"/>
    </row>
    <row r="29" spans="1:6">
      <c r="D29" s="736"/>
      <c r="E29" s="736"/>
      <c r="F29" s="736"/>
    </row>
    <row r="30" spans="1:6">
      <c r="D30" s="736"/>
      <c r="E30" s="736"/>
      <c r="F30" s="736"/>
    </row>
    <row r="31" spans="1:6">
      <c r="D31" s="736"/>
      <c r="E31" s="736"/>
      <c r="F31" s="736"/>
    </row>
    <row r="32" spans="1:6">
      <c r="D32" s="736"/>
      <c r="E32" s="736"/>
      <c r="F32" s="736"/>
    </row>
    <row r="33" spans="4:6">
      <c r="D33" s="736"/>
      <c r="E33" s="736"/>
      <c r="F33" s="736"/>
    </row>
    <row r="34" spans="4:6">
      <c r="D34" s="736"/>
      <c r="E34" s="736"/>
      <c r="F34" s="736"/>
    </row>
    <row r="35" spans="4:6">
      <c r="D35" s="736"/>
      <c r="E35" s="736"/>
      <c r="F35" s="736"/>
    </row>
    <row r="36" spans="4:6">
      <c r="D36" s="736"/>
      <c r="E36" s="736"/>
      <c r="F36" s="736"/>
    </row>
    <row r="37" spans="4:6">
      <c r="D37" s="736"/>
      <c r="E37" s="736"/>
      <c r="F37" s="736"/>
    </row>
    <row r="38" spans="4:6">
      <c r="D38" s="736"/>
      <c r="E38" s="736"/>
      <c r="F38" s="736"/>
    </row>
    <row r="39" spans="4:6">
      <c r="D39" s="736"/>
      <c r="E39" s="736"/>
      <c r="F39" s="736"/>
    </row>
    <row r="40" spans="4:6">
      <c r="D40" s="736"/>
      <c r="E40" s="736"/>
      <c r="F40" s="736"/>
    </row>
    <row r="41" spans="4:6">
      <c r="D41" s="736"/>
      <c r="E41" s="736"/>
      <c r="F41" s="736"/>
    </row>
    <row r="42" spans="4:6">
      <c r="D42" s="736"/>
      <c r="E42" s="736"/>
      <c r="F42" s="736"/>
    </row>
    <row r="43" spans="4:6">
      <c r="D43" s="736"/>
      <c r="E43" s="736"/>
      <c r="F43" s="736"/>
    </row>
    <row r="44" spans="4:6">
      <c r="D44" s="736"/>
      <c r="E44" s="736"/>
      <c r="F44" s="736"/>
    </row>
    <row r="45" spans="4:6">
      <c r="D45" s="736"/>
      <c r="E45" s="736"/>
      <c r="F45" s="736"/>
    </row>
  </sheetData>
  <mergeCells count="2">
    <mergeCell ref="A3:F3"/>
    <mergeCell ref="A1:F1"/>
  </mergeCells>
  <phoneticPr fontId="0" type="noConversion"/>
  <pageMargins left="0.75" right="0.75" top="1.5" bottom="1" header="0.5" footer="0.5"/>
  <pageSetup scale="94" orientation="portrait" r:id="rId1"/>
  <headerFooter alignWithMargins="0">
    <oddHeader>&amp;R&amp;"Times New Roman,Bold"&amp;11Appendix A
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2D85A-CFB4-4648-8375-6AE82F044529}">
  <sheetPr>
    <pageSetUpPr fitToPage="1"/>
  </sheetPr>
  <dimension ref="A1:R60"/>
  <sheetViews>
    <sheetView zoomScale="91" zoomScaleNormal="91" zoomScaleSheetLayoutView="70" workbookViewId="0">
      <selection activeCell="E12" sqref="E12"/>
    </sheetView>
  </sheetViews>
  <sheetFormatPr defaultColWidth="11.453125" defaultRowHeight="13"/>
  <cols>
    <col min="1" max="1" width="6.26953125" style="1066" customWidth="1"/>
    <col min="2" max="2" width="58.1796875" style="1065" customWidth="1"/>
    <col min="3" max="3" width="31" style="1065" customWidth="1"/>
    <col min="4" max="4" width="24.7265625" style="1065" customWidth="1"/>
    <col min="5" max="5" width="20.54296875" style="1065" customWidth="1"/>
    <col min="6" max="6" width="22.26953125" style="1065" customWidth="1"/>
    <col min="7" max="7" width="23.453125" style="1065" customWidth="1"/>
    <col min="8" max="9" width="23.1796875" style="1065" customWidth="1"/>
    <col min="10" max="10" width="27.54296875" style="1065" customWidth="1"/>
    <col min="11" max="11" width="26.1796875" style="1065" customWidth="1"/>
    <col min="12" max="12" width="21" style="1065" customWidth="1"/>
    <col min="13" max="13" width="20.26953125" style="1065" customWidth="1"/>
    <col min="14" max="16" width="15.1796875" style="1065" customWidth="1"/>
    <col min="17" max="16384" width="11.453125" style="1065"/>
  </cols>
  <sheetData>
    <row r="1" spans="1:17">
      <c r="D1" s="1078"/>
      <c r="E1" s="1078"/>
      <c r="G1" s="1426" t="s">
        <v>1220</v>
      </c>
      <c r="H1" s="1078"/>
      <c r="I1" s="1114"/>
      <c r="J1" s="1078"/>
    </row>
    <row r="2" spans="1:17">
      <c r="A2" s="1067"/>
      <c r="D2" s="1078"/>
      <c r="E2" s="1078"/>
      <c r="F2" s="1078"/>
      <c r="G2" s="1091" t="s">
        <v>1219</v>
      </c>
      <c r="H2" s="1078"/>
      <c r="I2" s="1078"/>
      <c r="J2" s="1078"/>
      <c r="K2" s="1078"/>
      <c r="M2" s="1075"/>
      <c r="P2" s="1078"/>
    </row>
    <row r="3" spans="1:17">
      <c r="A3" s="1067"/>
      <c r="D3" s="1078"/>
      <c r="E3" s="1078"/>
      <c r="F3" s="1078"/>
      <c r="G3" s="1427" t="s">
        <v>686</v>
      </c>
      <c r="H3" s="1078"/>
      <c r="I3" s="1078"/>
      <c r="J3" s="1078"/>
      <c r="K3" s="1078"/>
      <c r="P3" s="1078"/>
    </row>
    <row r="4" spans="1:17">
      <c r="A4" s="1067"/>
      <c r="D4" s="1078"/>
      <c r="E4" s="1121"/>
      <c r="F4" s="1078"/>
      <c r="G4" s="1078"/>
      <c r="H4" s="1078"/>
      <c r="I4" s="1078"/>
      <c r="J4" s="1078"/>
      <c r="K4" s="1078"/>
      <c r="P4" s="1078"/>
    </row>
    <row r="5" spans="1:17">
      <c r="A5" s="1067"/>
      <c r="B5" s="1097"/>
      <c r="C5" s="1097"/>
      <c r="D5" s="1097"/>
      <c r="E5" s="1097"/>
      <c r="F5" s="1097"/>
      <c r="G5" s="1097"/>
      <c r="H5" s="1097"/>
      <c r="I5" s="1097"/>
      <c r="J5" s="1097"/>
      <c r="K5" s="1097"/>
      <c r="P5" s="1078"/>
    </row>
    <row r="6" spans="1:17" s="1110" customFormat="1" ht="14.5">
      <c r="A6" s="1109"/>
      <c r="B6" s="1095" t="s">
        <v>331</v>
      </c>
      <c r="C6" s="1666" t="s">
        <v>1218</v>
      </c>
      <c r="D6" s="1667"/>
      <c r="E6" s="1668"/>
      <c r="F6" s="1669" t="s">
        <v>195</v>
      </c>
      <c r="G6" s="1670"/>
      <c r="H6" s="1670"/>
      <c r="I6" s="1669" t="s">
        <v>1217</v>
      </c>
      <c r="J6" s="1673"/>
      <c r="K6" s="1666" t="s">
        <v>1216</v>
      </c>
      <c r="L6" s="1670"/>
      <c r="M6" s="1674"/>
      <c r="P6" s="1114"/>
      <c r="Q6" s="1114"/>
    </row>
    <row r="7" spans="1:17" s="1111" customFormat="1" ht="26">
      <c r="A7" s="1113" t="s">
        <v>1200</v>
      </c>
      <c r="B7" s="1095" t="s">
        <v>501</v>
      </c>
      <c r="C7" s="1095" t="s">
        <v>348</v>
      </c>
      <c r="D7" s="1095" t="s">
        <v>270</v>
      </c>
      <c r="E7" s="1112" t="s">
        <v>1213</v>
      </c>
      <c r="F7" s="1095" t="s">
        <v>348</v>
      </c>
      <c r="G7" s="1095" t="s">
        <v>1215</v>
      </c>
      <c r="H7" s="1112" t="s">
        <v>1213</v>
      </c>
      <c r="I7" s="1095" t="s">
        <v>1214</v>
      </c>
      <c r="J7" s="1112" t="s">
        <v>1213</v>
      </c>
      <c r="K7" s="1095" t="s">
        <v>348</v>
      </c>
      <c r="L7" s="1095" t="s">
        <v>270</v>
      </c>
      <c r="M7" s="1112" t="s">
        <v>1213</v>
      </c>
      <c r="Q7" s="1110"/>
    </row>
    <row r="8" spans="1:17" s="1105" customFormat="1">
      <c r="A8" s="1109"/>
      <c r="B8" s="1091" t="s">
        <v>1190</v>
      </c>
      <c r="C8" s="1091" t="s">
        <v>1184</v>
      </c>
      <c r="D8" s="1091" t="s">
        <v>1183</v>
      </c>
      <c r="E8" s="1095" t="s">
        <v>1182</v>
      </c>
      <c r="F8" s="1091" t="s">
        <v>1181</v>
      </c>
      <c r="G8" s="1095" t="s">
        <v>1180</v>
      </c>
      <c r="H8" s="1091" t="s">
        <v>1179</v>
      </c>
      <c r="I8" s="1095" t="s">
        <v>1178</v>
      </c>
      <c r="J8" s="1091" t="s">
        <v>1177</v>
      </c>
      <c r="K8" s="1095" t="s">
        <v>1176</v>
      </c>
      <c r="L8" s="1095" t="s">
        <v>1175</v>
      </c>
      <c r="M8" s="1095" t="s">
        <v>1174</v>
      </c>
      <c r="Q8" s="1110"/>
    </row>
    <row r="9" spans="1:17" s="1105" customFormat="1">
      <c r="A9" s="1109"/>
      <c r="B9" s="1108" t="s">
        <v>1402</v>
      </c>
      <c r="C9" s="1106">
        <v>19</v>
      </c>
      <c r="D9" s="1106">
        <v>23</v>
      </c>
      <c r="E9" s="1107">
        <v>24</v>
      </c>
      <c r="F9" s="1106">
        <v>30</v>
      </c>
      <c r="G9" s="1106">
        <v>31</v>
      </c>
      <c r="H9" s="1106">
        <v>12</v>
      </c>
      <c r="I9" s="1106">
        <v>10</v>
      </c>
      <c r="J9" s="1106">
        <v>11</v>
      </c>
      <c r="K9" s="1106"/>
      <c r="L9" s="1107"/>
      <c r="M9" s="1106"/>
    </row>
    <row r="10" spans="1:17" s="1070" customFormat="1" ht="77.25" customHeight="1">
      <c r="A10" s="1067"/>
      <c r="B10" s="1091"/>
      <c r="C10" s="1090" t="s">
        <v>1212</v>
      </c>
      <c r="D10" s="1090" t="s">
        <v>1211</v>
      </c>
      <c r="E10" s="1090" t="s">
        <v>1207</v>
      </c>
      <c r="F10" s="1090" t="s">
        <v>1210</v>
      </c>
      <c r="G10" s="1090" t="s">
        <v>1209</v>
      </c>
      <c r="H10" s="1090" t="s">
        <v>1207</v>
      </c>
      <c r="I10" s="1328" t="s">
        <v>1208</v>
      </c>
      <c r="J10" s="1090" t="s">
        <v>1207</v>
      </c>
      <c r="K10" s="1090" t="s">
        <v>1206</v>
      </c>
      <c r="L10" s="1090" t="s">
        <v>1205</v>
      </c>
      <c r="M10" s="1090" t="s">
        <v>1204</v>
      </c>
    </row>
    <row r="11" spans="1:17">
      <c r="A11" s="1067">
        <v>1</v>
      </c>
      <c r="B11" s="1086" t="s">
        <v>1171</v>
      </c>
      <c r="C11" s="1083">
        <f>+'9A - Gross Plant &amp; ARO'!P11</f>
        <v>2213743620</v>
      </c>
      <c r="D11" s="1083">
        <f>+'9A - Gross Plant &amp; ARO'!Q11</f>
        <v>323768888</v>
      </c>
      <c r="E11" s="1083">
        <f>+'9A - Gross Plant &amp; ARO'!T11</f>
        <v>856699464.02072096</v>
      </c>
      <c r="F11" s="1102">
        <f>+'9A - Gross Plant &amp; ARO'!D51</f>
        <v>494626096</v>
      </c>
      <c r="G11" s="1102">
        <f>+'9A - Gross Plant &amp; ARO'!E51</f>
        <v>37062887.82</v>
      </c>
      <c r="H11" s="1102">
        <f>+'9A - Gross Plant &amp; ARO'!I51</f>
        <v>93252060.061281994</v>
      </c>
      <c r="I11" s="1102">
        <f>+'9A - Gross Plant &amp; ARO'!F51</f>
        <v>69530275</v>
      </c>
      <c r="J11" s="1102">
        <f>+'9A - Gross Plant &amp; ARO'!J51</f>
        <v>191688991.22204101</v>
      </c>
      <c r="K11" s="1083">
        <f>+C11-F11</f>
        <v>1719117524</v>
      </c>
      <c r="L11" s="1083">
        <f>+D11-G11-I11</f>
        <v>217175725.18000001</v>
      </c>
      <c r="M11" s="1083">
        <f>+E11-J11-H11</f>
        <v>571758412.73739791</v>
      </c>
    </row>
    <row r="12" spans="1:17">
      <c r="A12" s="1067">
        <v>2</v>
      </c>
      <c r="B12" s="1086" t="s">
        <v>1028</v>
      </c>
      <c r="C12" s="1083">
        <f>+'9A - Gross Plant &amp; ARO'!P12</f>
        <v>2215941969.0599995</v>
      </c>
      <c r="D12" s="1083">
        <f>+'9A - Gross Plant &amp; ARO'!Q12</f>
        <v>325826227.49000007</v>
      </c>
      <c r="E12" s="1083">
        <f>+'9A - Gross Plant &amp; ARO'!T12</f>
        <v>870580754.43179989</v>
      </c>
      <c r="F12" s="1102">
        <f>+'9A - Gross Plant &amp; ARO'!D52</f>
        <v>498566722.36000013</v>
      </c>
      <c r="G12" s="1102">
        <f>+'9A - Gross Plant &amp; ARO'!E52</f>
        <v>38652802.219999999</v>
      </c>
      <c r="H12" s="1102">
        <f>+'9A - Gross Plant &amp; ARO'!I52</f>
        <v>95530086.18693009</v>
      </c>
      <c r="I12" s="1102">
        <f>+'9A - Gross Plant &amp; ARO'!F52</f>
        <v>71103542.409999996</v>
      </c>
      <c r="J12" s="1102">
        <f>+'9A - Gross Plant &amp; ARO'!J52</f>
        <v>195651691.56792</v>
      </c>
      <c r="K12" s="1083">
        <f t="shared" ref="K12:K23" si="0">+C12-F12</f>
        <v>1717375246.6999993</v>
      </c>
      <c r="L12" s="1083">
        <f t="shared" ref="L12:L23" si="1">+D12-G12-I12</f>
        <v>216069882.8600001</v>
      </c>
      <c r="M12" s="1083">
        <f t="shared" ref="M12:M23" si="2">+E12-J12-H12</f>
        <v>579398976.67694986</v>
      </c>
    </row>
    <row r="13" spans="1:17">
      <c r="A13" s="1067">
        <v>3</v>
      </c>
      <c r="B13" s="1078" t="s">
        <v>1029</v>
      </c>
      <c r="C13" s="1083">
        <f>+'9A - Gross Plant &amp; ARO'!P13</f>
        <v>2218234320.48</v>
      </c>
      <c r="D13" s="1083">
        <f>+'9A - Gross Plant &amp; ARO'!Q13</f>
        <v>328536030.29000002</v>
      </c>
      <c r="E13" s="1083">
        <f>+'9A - Gross Plant &amp; ARO'!T13</f>
        <v>867301797.89803016</v>
      </c>
      <c r="F13" s="1102">
        <f>+'9A - Gross Plant &amp; ARO'!D53</f>
        <v>502400348.74000013</v>
      </c>
      <c r="G13" s="1102">
        <f>+'9A - Gross Plant &amp; ARO'!E53</f>
        <v>41546387.909999996</v>
      </c>
      <c r="H13" s="1102">
        <f>+'9A - Gross Plant &amp; ARO'!I53</f>
        <v>97246739.126988038</v>
      </c>
      <c r="I13" s="1102">
        <f>+'9A - Gross Plant &amp; ARO'!F53</f>
        <v>72705105.00999999</v>
      </c>
      <c r="J13" s="1102">
        <f>+'9A - Gross Plant &amp; ARO'!J53</f>
        <v>198093384.361532</v>
      </c>
      <c r="K13" s="1083">
        <f t="shared" si="0"/>
        <v>1715833971.7399998</v>
      </c>
      <c r="L13" s="1083">
        <f t="shared" si="1"/>
        <v>214284537.37</v>
      </c>
      <c r="M13" s="1083">
        <f t="shared" si="2"/>
        <v>571961674.40951014</v>
      </c>
    </row>
    <row r="14" spans="1:17">
      <c r="A14" s="1067">
        <v>4</v>
      </c>
      <c r="B14" s="1078" t="s">
        <v>1170</v>
      </c>
      <c r="C14" s="1083">
        <f>+'9A - Gross Plant &amp; ARO'!P14</f>
        <v>2214845655.9199996</v>
      </c>
      <c r="D14" s="1083">
        <f>+'9A - Gross Plant &amp; ARO'!Q14</f>
        <v>330626881.34999996</v>
      </c>
      <c r="E14" s="1083">
        <f>+'9A - Gross Plant &amp; ARO'!T14</f>
        <v>869618876.67379999</v>
      </c>
      <c r="F14" s="1102">
        <f>+'9A - Gross Plant &amp; ARO'!D54</f>
        <v>503308846.37000012</v>
      </c>
      <c r="G14" s="1102">
        <f>+'9A - Gross Plant &amp; ARO'!E54</f>
        <v>43150468.349999994</v>
      </c>
      <c r="H14" s="1102">
        <f>+'9A - Gross Plant &amp; ARO'!I54</f>
        <v>99606411.377990037</v>
      </c>
      <c r="I14" s="1102">
        <f>+'9A - Gross Plant &amp; ARO'!F54</f>
        <v>74306384.689999998</v>
      </c>
      <c r="J14" s="1102">
        <f>+'9A - Gross Plant &amp; ARO'!J54</f>
        <v>201940146.62018999</v>
      </c>
      <c r="K14" s="1083">
        <f t="shared" si="0"/>
        <v>1711536809.5499995</v>
      </c>
      <c r="L14" s="1083">
        <f t="shared" si="1"/>
        <v>213170028.31</v>
      </c>
      <c r="M14" s="1083">
        <f t="shared" si="2"/>
        <v>568072318.67561996</v>
      </c>
    </row>
    <row r="15" spans="1:17">
      <c r="A15" s="1067">
        <v>5</v>
      </c>
      <c r="B15" s="1078" t="s">
        <v>502</v>
      </c>
      <c r="C15" s="1083">
        <f>+'9A - Gross Plant &amp; ARO'!P15</f>
        <v>2229120101.9699993</v>
      </c>
      <c r="D15" s="1083">
        <f>+'9A - Gross Plant &amp; ARO'!Q15</f>
        <v>334591801.15000015</v>
      </c>
      <c r="E15" s="1083">
        <f>+'9A - Gross Plant &amp; ARO'!T15</f>
        <v>869398242.41243601</v>
      </c>
      <c r="F15" s="1102">
        <f>+'9A - Gross Plant &amp; ARO'!D55</f>
        <v>505728308.39999992</v>
      </c>
      <c r="G15" s="1102">
        <f>+'9A - Gross Plant &amp; ARO'!E55</f>
        <v>44785519.259999998</v>
      </c>
      <c r="H15" s="1102">
        <f>+'9A - Gross Plant &amp; ARO'!I55</f>
        <v>101666505.44795801</v>
      </c>
      <c r="I15" s="1102">
        <f>+'9A - Gross Plant &amp; ARO'!F55</f>
        <v>75963656.430000007</v>
      </c>
      <c r="J15" s="1102">
        <f>+'9A - Gross Plant &amp; ARO'!J55</f>
        <v>205788696.727658</v>
      </c>
      <c r="K15" s="1083">
        <f t="shared" si="0"/>
        <v>1723391793.5699995</v>
      </c>
      <c r="L15" s="1083">
        <f t="shared" si="1"/>
        <v>213842625.46000016</v>
      </c>
      <c r="M15" s="1083">
        <f t="shared" si="2"/>
        <v>561943040.23681998</v>
      </c>
    </row>
    <row r="16" spans="1:17">
      <c r="A16" s="1067">
        <v>6</v>
      </c>
      <c r="B16" s="1078" t="s">
        <v>503</v>
      </c>
      <c r="C16" s="1083">
        <f>+'9A - Gross Plant &amp; ARO'!P16</f>
        <v>2402169492.4400005</v>
      </c>
      <c r="D16" s="1083">
        <f>+'9A - Gross Plant &amp; ARO'!Q16</f>
        <v>352298394.81</v>
      </c>
      <c r="E16" s="1083">
        <f>+'9A - Gross Plant &amp; ARO'!T16</f>
        <v>873632894.97503805</v>
      </c>
      <c r="F16" s="1102">
        <f>+'9A - Gross Plant &amp; ARO'!D56</f>
        <v>509640941.46999997</v>
      </c>
      <c r="G16" s="1102">
        <f>+'9A - Gross Plant &amp; ARO'!E56</f>
        <v>46499465.659999996</v>
      </c>
      <c r="H16" s="1102">
        <f>+'9A - Gross Plant &amp; ARO'!I56</f>
        <v>101171010.39423408</v>
      </c>
      <c r="I16" s="1102">
        <f>+'9A - Gross Plant &amp; ARO'!F56</f>
        <v>77631025.810000002</v>
      </c>
      <c r="J16" s="1102">
        <f>+'9A - Gross Plant &amp; ARO'!J56</f>
        <v>209689980.818032</v>
      </c>
      <c r="K16" s="1083">
        <f t="shared" si="0"/>
        <v>1892528550.9700005</v>
      </c>
      <c r="L16" s="1083">
        <f t="shared" si="1"/>
        <v>228167903.33999997</v>
      </c>
      <c r="M16" s="1083">
        <f t="shared" si="2"/>
        <v>562771903.76277196</v>
      </c>
    </row>
    <row r="17" spans="1:15">
      <c r="A17" s="1067">
        <v>7</v>
      </c>
      <c r="B17" s="1078" t="s">
        <v>504</v>
      </c>
      <c r="C17" s="1083">
        <f>+'9A - Gross Plant &amp; ARO'!P17</f>
        <v>2409289691.9300008</v>
      </c>
      <c r="D17" s="1083">
        <f>+'9A - Gross Plant &amp; ARO'!Q17</f>
        <v>344210941.58999997</v>
      </c>
      <c r="E17" s="1083">
        <f>+'9A - Gross Plant &amp; ARO'!T17</f>
        <v>890733689.70394588</v>
      </c>
      <c r="F17" s="1102">
        <f>+'9A - Gross Plant &amp; ARO'!D57</f>
        <v>512483945.91000009</v>
      </c>
      <c r="G17" s="1102">
        <f>+'9A - Gross Plant &amp; ARO'!E57</f>
        <v>48231188.850000009</v>
      </c>
      <c r="H17" s="1102">
        <f>+'9A - Gross Plant &amp; ARO'!I57</f>
        <v>103403250.07366207</v>
      </c>
      <c r="I17" s="1102">
        <f>+'9A - Gross Plant &amp; ARO'!F57</f>
        <v>66920867.239999995</v>
      </c>
      <c r="J17" s="1102">
        <f>+'9A - Gross Plant &amp; ARO'!J57</f>
        <v>227505217.063784</v>
      </c>
      <c r="K17" s="1083">
        <f t="shared" si="0"/>
        <v>1896805746.0200007</v>
      </c>
      <c r="L17" s="1083">
        <f t="shared" si="1"/>
        <v>229058885.49999994</v>
      </c>
      <c r="M17" s="1083">
        <f t="shared" si="2"/>
        <v>559825222.56649983</v>
      </c>
    </row>
    <row r="18" spans="1:15">
      <c r="A18" s="1067">
        <v>8</v>
      </c>
      <c r="B18" s="1078" t="s">
        <v>1031</v>
      </c>
      <c r="C18" s="1083">
        <f>+'9A - Gross Plant &amp; ARO'!P18</f>
        <v>2421550640.7200007</v>
      </c>
      <c r="D18" s="1083">
        <f>+'9A - Gross Plant &amp; ARO'!Q18</f>
        <v>346859385.08999997</v>
      </c>
      <c r="E18" s="1083">
        <f>+'9A - Gross Plant &amp; ARO'!T18</f>
        <v>877983424.422786</v>
      </c>
      <c r="F18" s="1102">
        <f>+'9A - Gross Plant &amp; ARO'!D58</f>
        <v>512092237.31000006</v>
      </c>
      <c r="G18" s="1102">
        <f>+'9A - Gross Plant &amp; ARO'!E58</f>
        <v>42241347.020000003</v>
      </c>
      <c r="H18" s="1102">
        <f>+'9A - Gross Plant &amp; ARO'!I58</f>
        <v>88759627.122056097</v>
      </c>
      <c r="I18" s="1102">
        <f>+'9A - Gross Plant &amp; ARO'!F58</f>
        <v>68618718.890000001</v>
      </c>
      <c r="J18" s="1102">
        <f>+'9A - Gross Plant &amp; ARO'!J58</f>
        <v>231441688.10965401</v>
      </c>
      <c r="K18" s="1083">
        <f t="shared" si="0"/>
        <v>1909458403.4100008</v>
      </c>
      <c r="L18" s="1083">
        <f t="shared" si="1"/>
        <v>235999319.18000001</v>
      </c>
      <c r="M18" s="1083">
        <f t="shared" si="2"/>
        <v>557782109.19107592</v>
      </c>
    </row>
    <row r="19" spans="1:15">
      <c r="A19" s="1067">
        <v>9</v>
      </c>
      <c r="B19" s="1078" t="s">
        <v>1169</v>
      </c>
      <c r="C19" s="1083">
        <f>+'9A - Gross Plant &amp; ARO'!P19</f>
        <v>2423592266.2700005</v>
      </c>
      <c r="D19" s="1083">
        <f>+'9A - Gross Plant &amp; ARO'!Q19</f>
        <v>347219176.20999998</v>
      </c>
      <c r="E19" s="1083">
        <f>+'9A - Gross Plant &amp; ARO'!T19</f>
        <v>879928724.84673202</v>
      </c>
      <c r="F19" s="1102">
        <f>+'9A - Gross Plant &amp; ARO'!D59</f>
        <v>515892067.68000001</v>
      </c>
      <c r="G19" s="1102">
        <f>+'9A - Gross Plant &amp; ARO'!E59</f>
        <v>43839553.310000002</v>
      </c>
      <c r="H19" s="1102">
        <f>+'9A - Gross Plant &amp; ARO'!I59</f>
        <v>90920169.086647943</v>
      </c>
      <c r="I19" s="1102">
        <f>+'9A - Gross Plant &amp; ARO'!F59</f>
        <v>70310854.620000005</v>
      </c>
      <c r="J19" s="1102">
        <f>+'9A - Gross Plant &amp; ARO'!J59</f>
        <v>235381147.631652</v>
      </c>
      <c r="K19" s="1083">
        <f t="shared" si="0"/>
        <v>1907700198.5900004</v>
      </c>
      <c r="L19" s="1083">
        <f t="shared" si="1"/>
        <v>233068768.27999997</v>
      </c>
      <c r="M19" s="1083">
        <f t="shared" si="2"/>
        <v>553627408.12843204</v>
      </c>
    </row>
    <row r="20" spans="1:15">
      <c r="A20" s="1067">
        <v>10</v>
      </c>
      <c r="B20" s="1078" t="s">
        <v>1033</v>
      </c>
      <c r="C20" s="1083">
        <f>+'9A - Gross Plant &amp; ARO'!P20</f>
        <v>2427753056.8000011</v>
      </c>
      <c r="D20" s="1083">
        <f>+'9A - Gross Plant &amp; ARO'!Q20</f>
        <v>355132235.30999994</v>
      </c>
      <c r="E20" s="1083">
        <f>+'9A - Gross Plant &amp; ARO'!T20</f>
        <v>881629882.36941206</v>
      </c>
      <c r="F20" s="1102">
        <f>+'9A - Gross Plant &amp; ARO'!D60</f>
        <v>515342376.31999999</v>
      </c>
      <c r="G20" s="1102">
        <f>+'9A - Gross Plant &amp; ARO'!E60</f>
        <v>45455118.620000005</v>
      </c>
      <c r="H20" s="1102">
        <f>+'9A - Gross Plant &amp; ARO'!I60</f>
        <v>95910949.398967996</v>
      </c>
      <c r="I20" s="1102">
        <f>+'9A - Gross Plant &amp; ARO'!F60</f>
        <v>72061605.849999994</v>
      </c>
      <c r="J20" s="1102">
        <f>+'9A - Gross Plant &amp; ARO'!J60</f>
        <v>239329908.312132</v>
      </c>
      <c r="K20" s="1083">
        <f t="shared" si="0"/>
        <v>1912410680.4800012</v>
      </c>
      <c r="L20" s="1083">
        <f t="shared" si="1"/>
        <v>237615510.83999994</v>
      </c>
      <c r="M20" s="1083">
        <f t="shared" si="2"/>
        <v>546389024.65831208</v>
      </c>
    </row>
    <row r="21" spans="1:15">
      <c r="A21" s="1067">
        <v>11</v>
      </c>
      <c r="B21" s="1078" t="s">
        <v>1034</v>
      </c>
      <c r="C21" s="1083">
        <f>+'9A - Gross Plant &amp; ARO'!P21</f>
        <v>2430222517.250001</v>
      </c>
      <c r="D21" s="1083">
        <f>+'9A - Gross Plant &amp; ARO'!Q21</f>
        <v>356792050.30000001</v>
      </c>
      <c r="E21" s="1083">
        <f>+'9A - Gross Plant &amp; ARO'!T21</f>
        <v>885015804.8722322</v>
      </c>
      <c r="F21" s="1102">
        <f>+'9A - Gross Plant &amp; ARO'!D61</f>
        <v>518347614.59000003</v>
      </c>
      <c r="G21" s="1102">
        <f>+'9A - Gross Plant &amp; ARO'!E61</f>
        <v>47066262.099999994</v>
      </c>
      <c r="H21" s="1102">
        <f>+'9A - Gross Plant &amp; ARO'!I61</f>
        <v>98078176.367027968</v>
      </c>
      <c r="I21" s="1102">
        <f>+'9A - Gross Plant &amp; ARO'!F61</f>
        <v>73813277.909999996</v>
      </c>
      <c r="J21" s="1102">
        <f>+'9A - Gross Plant &amp; ARO'!J61</f>
        <v>243274819.32078603</v>
      </c>
      <c r="K21" s="1083">
        <f t="shared" si="0"/>
        <v>1911874902.6600008</v>
      </c>
      <c r="L21" s="1083">
        <f t="shared" si="1"/>
        <v>235912510.29000005</v>
      </c>
      <c r="M21" s="1083">
        <f t="shared" si="2"/>
        <v>543662809.1844182</v>
      </c>
    </row>
    <row r="22" spans="1:15">
      <c r="A22" s="1067">
        <v>12</v>
      </c>
      <c r="B22" s="1078" t="s">
        <v>1035</v>
      </c>
      <c r="C22" s="1083">
        <f>+'9A - Gross Plant &amp; ARO'!P22</f>
        <v>2435000056.7400002</v>
      </c>
      <c r="D22" s="1083">
        <f>+'9A - Gross Plant &amp; ARO'!Q22</f>
        <v>362807530.31</v>
      </c>
      <c r="E22" s="1083">
        <f>+'9A - Gross Plant &amp; ARO'!T22</f>
        <v>898256899.96204817</v>
      </c>
      <c r="F22" s="1102">
        <f>+'9A - Gross Plant &amp; ARO'!D62</f>
        <v>520457292.65999997</v>
      </c>
      <c r="G22" s="1102">
        <f>+'9A - Gross Plant &amp; ARO'!E62</f>
        <v>48713234.689999998</v>
      </c>
      <c r="H22" s="1102">
        <f>+'9A - Gross Plant &amp; ARO'!I62</f>
        <v>95436549.284912005</v>
      </c>
      <c r="I22" s="1102">
        <f>+'9A - Gross Plant &amp; ARO'!F62</f>
        <v>75621003.00999999</v>
      </c>
      <c r="J22" s="1102">
        <f>+'9A - Gross Plant &amp; ARO'!J62</f>
        <v>247347170.61879</v>
      </c>
      <c r="K22" s="1083">
        <f t="shared" si="0"/>
        <v>1914542764.0800004</v>
      </c>
      <c r="L22" s="1083">
        <f t="shared" si="1"/>
        <v>238473292.61000001</v>
      </c>
      <c r="M22" s="1083">
        <f t="shared" si="2"/>
        <v>555473180.05834615</v>
      </c>
    </row>
    <row r="23" spans="1:15">
      <c r="A23" s="1067">
        <v>13</v>
      </c>
      <c r="B23" s="1078" t="s">
        <v>1168</v>
      </c>
      <c r="C23" s="1083">
        <f>+'9A - Gross Plant &amp; ARO'!P23</f>
        <v>2452543985.6100006</v>
      </c>
      <c r="D23" s="1083">
        <f>+'9A - Gross Plant &amp; ARO'!Q23</f>
        <v>383116758</v>
      </c>
      <c r="E23" s="1083">
        <f>+'9A - Gross Plant &amp; ARO'!T23</f>
        <v>916177166.16915596</v>
      </c>
      <c r="F23" s="1102">
        <f>+'9A - Gross Plant &amp; ARO'!D63</f>
        <v>518282169.79000026</v>
      </c>
      <c r="G23" s="1102">
        <f>+'9A - Gross Plant &amp; ARO'!E63</f>
        <v>50774295.93</v>
      </c>
      <c r="H23" s="1102">
        <f>+'9A - Gross Plant &amp; ARO'!I63</f>
        <v>97675008.937593952</v>
      </c>
      <c r="I23" s="1102">
        <f>+'9A - Gross Plant &amp; ARO'!F63</f>
        <v>77425926.139999986</v>
      </c>
      <c r="J23" s="1102">
        <f>+'9A - Gross Plant &amp; ARO'!J63</f>
        <v>251344843.25887203</v>
      </c>
      <c r="K23" s="1083">
        <f t="shared" si="0"/>
        <v>1934261815.8200004</v>
      </c>
      <c r="L23" s="1083">
        <f t="shared" si="1"/>
        <v>254916535.93000001</v>
      </c>
      <c r="M23" s="1083">
        <f t="shared" si="2"/>
        <v>567157313.97268999</v>
      </c>
    </row>
    <row r="24" spans="1:15">
      <c r="A24" s="1067">
        <v>14</v>
      </c>
      <c r="B24" s="1081" t="s">
        <v>1203</v>
      </c>
      <c r="C24" s="1101">
        <f t="shared" ref="C24:M24" si="3">SUM(C11:C23)/13</f>
        <v>2345692875.014616</v>
      </c>
      <c r="D24" s="1101">
        <f t="shared" si="3"/>
        <v>345522023.06923074</v>
      </c>
      <c r="E24" s="1101">
        <f t="shared" si="3"/>
        <v>879765970.98139513</v>
      </c>
      <c r="F24" s="1101">
        <f t="shared" si="3"/>
        <v>509782228.27692306</v>
      </c>
      <c r="G24" s="1101">
        <f t="shared" si="3"/>
        <v>44462963.980000004</v>
      </c>
      <c r="H24" s="1101">
        <f t="shared" si="3"/>
        <v>96819734.06663464</v>
      </c>
      <c r="I24" s="1101">
        <f t="shared" si="3"/>
        <v>72770172.539230764</v>
      </c>
      <c r="J24" s="1101">
        <f t="shared" ref="J24" si="4">SUM(J11:J23)/13</f>
        <v>221421360.43331099</v>
      </c>
      <c r="K24" s="1101">
        <f>SUM(K11:K23)/13</f>
        <v>1835910646.7376924</v>
      </c>
      <c r="L24" s="1101">
        <f t="shared" si="3"/>
        <v>228288886.55000001</v>
      </c>
      <c r="M24" s="1101">
        <f t="shared" si="3"/>
        <v>561524876.48144948</v>
      </c>
    </row>
    <row r="25" spans="1:15" ht="12" customHeight="1">
      <c r="A25" s="1067">
        <v>15</v>
      </c>
      <c r="B25" s="1081" t="s">
        <v>1202</v>
      </c>
      <c r="C25" s="1100">
        <v>0</v>
      </c>
      <c r="D25" s="1100">
        <f>+'10 - Merger Costs'!C34+'10 - Merger Costs'!D34</f>
        <v>0</v>
      </c>
      <c r="E25" s="1100">
        <f>+'10 - Merger Costs'!E34</f>
        <v>420975.4842681539</v>
      </c>
      <c r="F25" s="1100">
        <v>0</v>
      </c>
      <c r="G25" s="1100">
        <f>+'10 - Merger Costs'!C51</f>
        <v>0</v>
      </c>
      <c r="H25" s="1100">
        <v>0</v>
      </c>
      <c r="I25" s="1100">
        <f>+'10 - Merger Costs'!D51</f>
        <v>0</v>
      </c>
      <c r="J25" s="1100">
        <f>+'10 - Merger Costs'!E51</f>
        <v>65687.832008923069</v>
      </c>
      <c r="K25" s="1100">
        <f>+C25-F25</f>
        <v>0</v>
      </c>
      <c r="L25" s="1100">
        <f>+D25-G25-I25</f>
        <v>0</v>
      </c>
      <c r="M25" s="1100">
        <f>+E25-J25-H25</f>
        <v>355287.65225923085</v>
      </c>
    </row>
    <row r="26" spans="1:15" ht="13.5" thickBot="1">
      <c r="A26" s="1067">
        <v>16</v>
      </c>
      <c r="B26" s="1081" t="s">
        <v>1201</v>
      </c>
      <c r="C26" s="1079">
        <f t="shared" ref="C26:M26" si="5">+C24-C25</f>
        <v>2345692875.014616</v>
      </c>
      <c r="D26" s="1079">
        <f t="shared" si="5"/>
        <v>345522023.06923074</v>
      </c>
      <c r="E26" s="1079">
        <f t="shared" si="5"/>
        <v>879344995.49712694</v>
      </c>
      <c r="F26" s="1079">
        <f t="shared" si="5"/>
        <v>509782228.27692306</v>
      </c>
      <c r="G26" s="1079">
        <f t="shared" si="5"/>
        <v>44462963.980000004</v>
      </c>
      <c r="H26" s="1079">
        <f t="shared" si="5"/>
        <v>96819734.06663464</v>
      </c>
      <c r="I26" s="1079">
        <f t="shared" si="5"/>
        <v>72770172.539230764</v>
      </c>
      <c r="J26" s="1079">
        <f t="shared" si="5"/>
        <v>221355672.60130206</v>
      </c>
      <c r="K26" s="1079">
        <f t="shared" si="5"/>
        <v>1835910646.7376924</v>
      </c>
      <c r="L26" s="1079">
        <f t="shared" si="5"/>
        <v>228288886.55000001</v>
      </c>
      <c r="M26" s="1079">
        <f t="shared" si="5"/>
        <v>561169588.82919025</v>
      </c>
    </row>
    <row r="27" spans="1:15" ht="13.5" thickTop="1">
      <c r="A27" s="1067"/>
      <c r="B27" s="1078"/>
      <c r="C27" s="1099"/>
      <c r="D27" s="1076"/>
      <c r="E27" s="1076"/>
      <c r="F27" s="1076"/>
      <c r="G27" s="1076"/>
      <c r="H27" s="1076"/>
      <c r="I27" s="1076"/>
      <c r="J27" s="1099"/>
    </row>
    <row r="28" spans="1:15">
      <c r="A28" s="1067"/>
      <c r="B28" s="1098"/>
      <c r="C28" s="1671"/>
      <c r="D28" s="1671"/>
      <c r="E28" s="1671"/>
      <c r="F28" s="1671"/>
      <c r="G28" s="1671"/>
      <c r="H28" s="1671"/>
      <c r="I28" s="1671"/>
      <c r="J28" s="1671"/>
    </row>
    <row r="29" spans="1:15" ht="72" customHeight="1">
      <c r="A29" s="1067" t="s">
        <v>1200</v>
      </c>
      <c r="B29" s="1091" t="s">
        <v>501</v>
      </c>
      <c r="C29" s="1091" t="s">
        <v>1199</v>
      </c>
      <c r="D29" s="1091" t="s">
        <v>1198</v>
      </c>
      <c r="E29" s="1482"/>
      <c r="F29" s="1095" t="s">
        <v>1197</v>
      </c>
      <c r="G29" s="1091"/>
      <c r="H29" s="1087" t="s">
        <v>1196</v>
      </c>
      <c r="I29" s="1087" t="s">
        <v>1195</v>
      </c>
      <c r="J29" s="1087" t="s">
        <v>1194</v>
      </c>
      <c r="K29" s="1087" t="s">
        <v>1193</v>
      </c>
      <c r="L29" s="1087" t="s">
        <v>1192</v>
      </c>
      <c r="M29" s="1087" t="s">
        <v>1191</v>
      </c>
    </row>
    <row r="30" spans="1:15" s="1070" customFormat="1">
      <c r="A30" s="1067"/>
      <c r="B30" s="1091" t="s">
        <v>1190</v>
      </c>
      <c r="C30" s="1095" t="s">
        <v>1189</v>
      </c>
      <c r="D30" s="1095" t="s">
        <v>1188</v>
      </c>
      <c r="E30" s="1095" t="s">
        <v>1187</v>
      </c>
      <c r="F30" s="1095" t="s">
        <v>1186</v>
      </c>
      <c r="G30" s="1095" t="s">
        <v>1185</v>
      </c>
      <c r="H30" s="1087"/>
      <c r="I30" s="1087"/>
      <c r="J30" s="1096"/>
      <c r="K30" s="1096"/>
      <c r="L30" s="1096"/>
      <c r="M30" s="1096"/>
      <c r="N30" s="1065"/>
      <c r="O30" s="1065"/>
    </row>
    <row r="31" spans="1:15" s="1070" customFormat="1">
      <c r="C31" s="1091" t="s">
        <v>1184</v>
      </c>
      <c r="D31" s="1091" t="s">
        <v>1183</v>
      </c>
      <c r="E31" s="1095" t="s">
        <v>1182</v>
      </c>
      <c r="F31" s="1091" t="s">
        <v>1181</v>
      </c>
      <c r="G31" s="1095" t="s">
        <v>1180</v>
      </c>
      <c r="H31" s="1091" t="s">
        <v>1179</v>
      </c>
      <c r="I31" s="1095" t="s">
        <v>1178</v>
      </c>
      <c r="J31" s="1091" t="s">
        <v>1177</v>
      </c>
      <c r="K31" s="1091" t="s">
        <v>1176</v>
      </c>
      <c r="L31" s="1095" t="s">
        <v>1175</v>
      </c>
      <c r="M31" s="1095" t="s">
        <v>1174</v>
      </c>
      <c r="N31" s="1065"/>
      <c r="O31" s="1065"/>
    </row>
    <row r="32" spans="1:15" s="1070" customFormat="1">
      <c r="A32" s="1067"/>
      <c r="B32" s="1094" t="s">
        <v>1402</v>
      </c>
      <c r="C32" s="1093"/>
      <c r="D32" s="1093">
        <v>28</v>
      </c>
      <c r="E32" s="1093">
        <v>50</v>
      </c>
      <c r="F32" s="1093">
        <v>47</v>
      </c>
      <c r="G32" s="1093">
        <v>45</v>
      </c>
      <c r="H32" s="1092"/>
      <c r="I32" s="1092" t="s">
        <v>1419</v>
      </c>
      <c r="J32" s="1092"/>
      <c r="K32" s="1092"/>
      <c r="L32" s="1092"/>
      <c r="M32" s="1092"/>
      <c r="N32" s="1065"/>
      <c r="O32" s="1065"/>
    </row>
    <row r="33" spans="1:16" s="1070" customFormat="1" ht="51" customHeight="1">
      <c r="A33" s="1067"/>
      <c r="B33" s="1091"/>
      <c r="C33" s="1090" t="s">
        <v>359</v>
      </c>
      <c r="D33" s="1090" t="s">
        <v>1173</v>
      </c>
      <c r="E33" s="1090" t="s">
        <v>1451</v>
      </c>
      <c r="F33" s="1090" t="s">
        <v>1172</v>
      </c>
      <c r="G33" s="1088" t="s">
        <v>1039</v>
      </c>
      <c r="H33" s="1088" t="s">
        <v>296</v>
      </c>
      <c r="I33" s="1088" t="s">
        <v>454</v>
      </c>
      <c r="J33" s="1087" t="s">
        <v>53</v>
      </c>
      <c r="K33" s="1087" t="s">
        <v>53</v>
      </c>
      <c r="L33" s="1087" t="s">
        <v>53</v>
      </c>
      <c r="M33" s="1087" t="s">
        <v>53</v>
      </c>
      <c r="N33" s="1065"/>
      <c r="O33" s="1065"/>
    </row>
    <row r="34" spans="1:16">
      <c r="A34" s="1067">
        <v>17</v>
      </c>
      <c r="B34" s="1086" t="s">
        <v>1171</v>
      </c>
      <c r="C34" s="1083">
        <v>0</v>
      </c>
      <c r="D34" s="1083">
        <v>1706102</v>
      </c>
      <c r="E34" s="1083">
        <v>4607988.9667040966</v>
      </c>
      <c r="F34" s="1083">
        <v>0</v>
      </c>
      <c r="G34" s="1083">
        <f>'5 - Cost Support'!G160</f>
        <v>34766844.579325534</v>
      </c>
      <c r="H34" s="1084">
        <v>0</v>
      </c>
      <c r="I34" s="1083">
        <f>+'5 - Cost Support'!H188</f>
        <v>593500.40000000014</v>
      </c>
      <c r="J34" s="1082"/>
      <c r="K34" s="1082"/>
      <c r="L34" s="1082"/>
      <c r="M34" s="1082"/>
    </row>
    <row r="35" spans="1:16">
      <c r="A35" s="1067">
        <v>18</v>
      </c>
      <c r="B35" s="1086" t="s">
        <v>1028</v>
      </c>
      <c r="C35" s="1083">
        <v>0</v>
      </c>
      <c r="D35" s="1083">
        <v>1707203.3799999994</v>
      </c>
      <c r="E35" s="1083">
        <v>4703637.0633468898</v>
      </c>
      <c r="F35" s="1085">
        <v>0</v>
      </c>
      <c r="G35" s="1083">
        <f>'5 - Cost Support'!H160</f>
        <v>31641414.45899836</v>
      </c>
      <c r="H35" s="1085">
        <v>0</v>
      </c>
      <c r="I35" s="1085">
        <f t="shared" ref="I35:I46" si="6">I34-(593500.4/12)</f>
        <v>544042.03333333344</v>
      </c>
      <c r="J35" s="1082"/>
      <c r="K35" s="1082"/>
      <c r="L35" s="1082"/>
      <c r="M35" s="1082"/>
    </row>
    <row r="36" spans="1:16">
      <c r="A36" s="1067">
        <v>19</v>
      </c>
      <c r="B36" s="1078" t="s">
        <v>1029</v>
      </c>
      <c r="C36" s="1083">
        <v>0</v>
      </c>
      <c r="D36" s="1083">
        <v>1707203.3799999994</v>
      </c>
      <c r="E36" s="1083">
        <v>4439010.9427572116</v>
      </c>
      <c r="F36" s="1085">
        <v>0</v>
      </c>
      <c r="G36" s="1083">
        <f>'5 - Cost Support'!I160</f>
        <v>32517336.20485029</v>
      </c>
      <c r="H36" s="1085">
        <v>0</v>
      </c>
      <c r="I36" s="1085">
        <f t="shared" si="6"/>
        <v>494583.66666666674</v>
      </c>
      <c r="J36" s="1082"/>
      <c r="K36" s="1082"/>
      <c r="L36" s="1082"/>
      <c r="M36" s="1082"/>
    </row>
    <row r="37" spans="1:16">
      <c r="A37" s="1067">
        <v>20</v>
      </c>
      <c r="B37" s="1078" t="s">
        <v>1170</v>
      </c>
      <c r="C37" s="1083">
        <v>0</v>
      </c>
      <c r="D37" s="1083">
        <v>1707203.3799999994</v>
      </c>
      <c r="E37" s="1083">
        <v>4212073.971210083</v>
      </c>
      <c r="F37" s="1085">
        <v>0</v>
      </c>
      <c r="G37" s="1083">
        <f>'5 - Cost Support'!J160</f>
        <v>34170988.517403938</v>
      </c>
      <c r="H37" s="1085">
        <v>0</v>
      </c>
      <c r="I37" s="1085">
        <f t="shared" si="6"/>
        <v>445125.30000000005</v>
      </c>
      <c r="J37" s="1082"/>
      <c r="K37" s="1082"/>
      <c r="L37" s="1082"/>
      <c r="M37" s="1082"/>
    </row>
    <row r="38" spans="1:16">
      <c r="A38" s="1067">
        <v>21</v>
      </c>
      <c r="B38" s="1078" t="s">
        <v>502</v>
      </c>
      <c r="C38" s="1083">
        <v>0</v>
      </c>
      <c r="D38" s="1083">
        <v>1707203.3799999994</v>
      </c>
      <c r="E38" s="1083">
        <v>4178665.3030864662</v>
      </c>
      <c r="F38" s="1085">
        <v>0</v>
      </c>
      <c r="G38" s="1083">
        <f>'5 - Cost Support'!K160</f>
        <v>30364800.201101143</v>
      </c>
      <c r="H38" s="1085">
        <v>0</v>
      </c>
      <c r="I38" s="1085">
        <f t="shared" si="6"/>
        <v>395666.93333333335</v>
      </c>
      <c r="J38" s="1082"/>
      <c r="K38" s="1082"/>
      <c r="L38" s="1082"/>
      <c r="M38" s="1082"/>
    </row>
    <row r="39" spans="1:16">
      <c r="A39" s="1067">
        <v>22</v>
      </c>
      <c r="B39" s="1078" t="s">
        <v>503</v>
      </c>
      <c r="C39" s="1083">
        <v>0</v>
      </c>
      <c r="D39" s="1083">
        <v>1707203.3799999994</v>
      </c>
      <c r="E39" s="1083">
        <v>4305179.1548674954</v>
      </c>
      <c r="F39" s="1085">
        <v>0</v>
      </c>
      <c r="G39" s="1083">
        <f>'5 - Cost Support'!L160</f>
        <v>26556107.020055175</v>
      </c>
      <c r="H39" s="1085">
        <v>0</v>
      </c>
      <c r="I39" s="1085">
        <f t="shared" si="6"/>
        <v>346208.56666666665</v>
      </c>
      <c r="J39" s="1082"/>
      <c r="K39" s="1082"/>
      <c r="L39" s="1082"/>
      <c r="M39" s="1082"/>
    </row>
    <row r="40" spans="1:16">
      <c r="A40" s="1067">
        <v>23</v>
      </c>
      <c r="B40" s="1078" t="s">
        <v>504</v>
      </c>
      <c r="C40" s="1083">
        <v>0</v>
      </c>
      <c r="D40" s="1083">
        <v>1707203.3799999994</v>
      </c>
      <c r="E40" s="1083">
        <v>4173474.6602624469</v>
      </c>
      <c r="F40" s="1085">
        <v>0</v>
      </c>
      <c r="G40" s="1083">
        <f>'5 - Cost Support'!M160</f>
        <v>28113295.005147584</v>
      </c>
      <c r="H40" s="1085">
        <v>0</v>
      </c>
      <c r="I40" s="1085">
        <f t="shared" si="6"/>
        <v>296750.19999999995</v>
      </c>
      <c r="J40" s="1082"/>
      <c r="K40" s="1082"/>
      <c r="L40" s="1082"/>
      <c r="M40" s="1082"/>
    </row>
    <row r="41" spans="1:16">
      <c r="A41" s="1067">
        <v>24</v>
      </c>
      <c r="B41" s="1078" t="s">
        <v>1031</v>
      </c>
      <c r="C41" s="1083">
        <v>0</v>
      </c>
      <c r="D41" s="1083">
        <v>1707203.3799999994</v>
      </c>
      <c r="E41" s="1083">
        <v>4209229.1945881527</v>
      </c>
      <c r="F41" s="1085">
        <v>0</v>
      </c>
      <c r="G41" s="1083">
        <f>'5 - Cost Support'!N160</f>
        <v>27842491.133576788</v>
      </c>
      <c r="H41" s="1085">
        <v>0</v>
      </c>
      <c r="I41" s="1085">
        <f t="shared" si="6"/>
        <v>247291.83333333328</v>
      </c>
      <c r="J41" s="1082"/>
      <c r="K41" s="1082"/>
      <c r="L41" s="1082"/>
      <c r="M41" s="1082"/>
    </row>
    <row r="42" spans="1:16">
      <c r="A42" s="1067">
        <v>25</v>
      </c>
      <c r="B42" s="1078" t="s">
        <v>1169</v>
      </c>
      <c r="C42" s="1083">
        <v>0</v>
      </c>
      <c r="D42" s="1083">
        <v>1707203.3799999994</v>
      </c>
      <c r="E42" s="1083">
        <v>4011550.1526938416</v>
      </c>
      <c r="F42" s="1085">
        <v>0</v>
      </c>
      <c r="G42" s="1083">
        <f>'5 - Cost Support'!O160</f>
        <v>27469563.257533394</v>
      </c>
      <c r="H42" s="1085">
        <v>0</v>
      </c>
      <c r="I42" s="1085">
        <f t="shared" si="6"/>
        <v>197833.46666666662</v>
      </c>
      <c r="J42" s="1082"/>
      <c r="K42" s="1082"/>
      <c r="L42" s="1082"/>
      <c r="M42" s="1082"/>
    </row>
    <row r="43" spans="1:16">
      <c r="A43" s="1067">
        <v>26</v>
      </c>
      <c r="B43" s="1078" t="s">
        <v>1033</v>
      </c>
      <c r="C43" s="1083">
        <v>0</v>
      </c>
      <c r="D43" s="1083">
        <v>12673635</v>
      </c>
      <c r="E43" s="1083">
        <v>3780050.4313673549</v>
      </c>
      <c r="F43" s="1085">
        <v>0</v>
      </c>
      <c r="G43" s="1083">
        <f>'5 - Cost Support'!P160</f>
        <v>27045834.877017561</v>
      </c>
      <c r="H43" s="1085">
        <v>0</v>
      </c>
      <c r="I43" s="1085">
        <f t="shared" si="6"/>
        <v>148375.09999999995</v>
      </c>
      <c r="J43" s="1082"/>
      <c r="K43" s="1082"/>
      <c r="L43" s="1082"/>
      <c r="M43" s="1082"/>
    </row>
    <row r="44" spans="1:16">
      <c r="A44" s="1067">
        <v>27</v>
      </c>
      <c r="B44" s="1078" t="s">
        <v>1034</v>
      </c>
      <c r="C44" s="1083">
        <v>0</v>
      </c>
      <c r="D44" s="1083">
        <v>12673635</v>
      </c>
      <c r="E44" s="1083">
        <v>4056742.5131010255</v>
      </c>
      <c r="F44" s="1085">
        <v>0</v>
      </c>
      <c r="G44" s="1083">
        <f>'5 - Cost Support'!Q160</f>
        <v>26898679.843479414</v>
      </c>
      <c r="H44" s="1085">
        <v>0</v>
      </c>
      <c r="I44" s="1085">
        <f t="shared" si="6"/>
        <v>98916.733333333279</v>
      </c>
      <c r="J44" s="1082"/>
      <c r="K44" s="1082"/>
      <c r="L44" s="1082"/>
      <c r="M44" s="1082"/>
    </row>
    <row r="45" spans="1:16">
      <c r="A45" s="1067">
        <v>28</v>
      </c>
      <c r="B45" s="1078" t="s">
        <v>1035</v>
      </c>
      <c r="C45" s="1083">
        <v>0</v>
      </c>
      <c r="D45" s="1083">
        <v>12673635</v>
      </c>
      <c r="E45" s="1083">
        <v>4474718.6875990704</v>
      </c>
      <c r="F45" s="1085">
        <v>0</v>
      </c>
      <c r="G45" s="1083">
        <f>'5 - Cost Support'!R160</f>
        <v>26577365.255043466</v>
      </c>
      <c r="H45" s="1085">
        <v>0</v>
      </c>
      <c r="I45" s="1085">
        <f t="shared" si="6"/>
        <v>49458.36666666661</v>
      </c>
      <c r="J45" s="1082"/>
      <c r="K45" s="1082"/>
      <c r="L45" s="1082"/>
      <c r="M45" s="1082"/>
    </row>
    <row r="46" spans="1:16">
      <c r="A46" s="1067">
        <v>29</v>
      </c>
      <c r="B46" s="1078" t="s">
        <v>1168</v>
      </c>
      <c r="C46" s="1083">
        <v>0</v>
      </c>
      <c r="D46" s="1083">
        <v>12673635</v>
      </c>
      <c r="E46" s="1083">
        <v>4718207.0904371748</v>
      </c>
      <c r="F46" s="1083">
        <v>0</v>
      </c>
      <c r="G46" s="1083">
        <f>'5 - Cost Support'!S160</f>
        <v>36491822.006848149</v>
      </c>
      <c r="H46" s="1084">
        <v>0</v>
      </c>
      <c r="I46" s="1083">
        <f t="shared" si="6"/>
        <v>-5.8207660913467407E-11</v>
      </c>
      <c r="J46" s="1082"/>
      <c r="K46" s="1082"/>
      <c r="L46" s="1082"/>
      <c r="M46" s="1082"/>
    </row>
    <row r="47" spans="1:16" ht="13.5" thickBot="1">
      <c r="A47" s="1067">
        <v>30</v>
      </c>
      <c r="B47" s="1081" t="s">
        <v>1452</v>
      </c>
      <c r="C47" s="1079">
        <f t="shared" ref="C47:I47" si="7">SUM(C34:C46)/13</f>
        <v>0</v>
      </c>
      <c r="D47" s="1079">
        <f t="shared" si="7"/>
        <v>5081405.3107692301</v>
      </c>
      <c r="E47" s="1079">
        <f t="shared" si="7"/>
        <v>4297732.9332324089</v>
      </c>
      <c r="F47" s="1079">
        <f t="shared" si="7"/>
        <v>0</v>
      </c>
      <c r="G47" s="1079">
        <f t="shared" si="7"/>
        <v>30035118.643106215</v>
      </c>
      <c r="H47" s="1079">
        <f t="shared" si="7"/>
        <v>0</v>
      </c>
      <c r="I47" s="1079">
        <f t="shared" si="7"/>
        <v>296750.20000000007</v>
      </c>
      <c r="J47" s="1079"/>
      <c r="K47" s="1079"/>
      <c r="L47" s="1080"/>
      <c r="M47" s="1079"/>
      <c r="P47" s="1070"/>
    </row>
    <row r="48" spans="1:16" ht="15" thickTop="1">
      <c r="A48" s="1067"/>
      <c r="B48" s="1078"/>
      <c r="D48" s="1483"/>
      <c r="E48" s="1077"/>
      <c r="F48" s="1077"/>
      <c r="G48" s="1077"/>
      <c r="H48" s="1077"/>
      <c r="I48" s="1076"/>
      <c r="K48" s="1075"/>
      <c r="P48" s="1070"/>
    </row>
    <row r="49" spans="1:18">
      <c r="A49" s="1067"/>
      <c r="K49" s="1074"/>
      <c r="P49" s="1070"/>
    </row>
    <row r="50" spans="1:18">
      <c r="A50" s="1073"/>
      <c r="B50" s="1072"/>
      <c r="C50" s="1071"/>
      <c r="D50" s="1071"/>
      <c r="E50" s="1071"/>
      <c r="F50" s="1071"/>
      <c r="G50" s="1071"/>
      <c r="M50" s="1070"/>
      <c r="N50" s="1070"/>
      <c r="O50" s="1070"/>
      <c r="P50" s="1070"/>
      <c r="Q50" s="1070"/>
      <c r="R50" s="1070"/>
    </row>
    <row r="51" spans="1:18">
      <c r="A51" s="1073"/>
      <c r="B51" s="1072"/>
      <c r="C51" s="1071"/>
      <c r="D51" s="1071"/>
      <c r="E51" s="1071"/>
      <c r="F51" s="1071"/>
      <c r="G51" s="1071"/>
      <c r="M51" s="1070"/>
      <c r="N51" s="1070"/>
      <c r="O51" s="1070"/>
      <c r="P51" s="1070"/>
      <c r="Q51" s="1070"/>
      <c r="R51" s="1070"/>
    </row>
    <row r="52" spans="1:18">
      <c r="A52" s="1067" t="s">
        <v>1167</v>
      </c>
    </row>
    <row r="53" spans="1:18" ht="12.75" customHeight="1">
      <c r="A53" s="1067" t="s">
        <v>156</v>
      </c>
      <c r="B53" s="1672" t="s">
        <v>1166</v>
      </c>
      <c r="C53" s="1672"/>
      <c r="D53" s="1672"/>
      <c r="E53" s="1672"/>
      <c r="F53" s="1672"/>
      <c r="G53" s="1672"/>
      <c r="H53" s="1672"/>
      <c r="I53" s="1672"/>
      <c r="J53" s="1672"/>
      <c r="K53" s="1672"/>
      <c r="L53" s="1672"/>
    </row>
    <row r="54" spans="1:18" ht="12.75" customHeight="1">
      <c r="A54" s="1067" t="s">
        <v>293</v>
      </c>
      <c r="B54" s="1065" t="s">
        <v>1496</v>
      </c>
      <c r="C54" s="1069"/>
      <c r="D54" s="1069"/>
      <c r="E54" s="1069"/>
      <c r="F54" s="1069"/>
      <c r="G54" s="1069"/>
      <c r="H54" s="1069"/>
      <c r="I54" s="1069"/>
      <c r="J54" s="1069"/>
      <c r="K54" s="1069"/>
      <c r="L54" s="1069"/>
    </row>
    <row r="55" spans="1:18" ht="12.75" customHeight="1">
      <c r="A55" s="1067" t="s">
        <v>133</v>
      </c>
      <c r="B55" s="1065" t="s">
        <v>1165</v>
      </c>
    </row>
    <row r="56" spans="1:18">
      <c r="A56" s="1067" t="s">
        <v>157</v>
      </c>
      <c r="B56" s="1068" t="s">
        <v>1164</v>
      </c>
    </row>
    <row r="57" spans="1:18">
      <c r="A57" s="1067" t="s">
        <v>155</v>
      </c>
      <c r="B57" s="1065" t="s">
        <v>1163</v>
      </c>
    </row>
    <row r="58" spans="1:18">
      <c r="A58" s="1067" t="s">
        <v>487</v>
      </c>
      <c r="B58" s="1065" t="s">
        <v>1162</v>
      </c>
    </row>
    <row r="59" spans="1:18">
      <c r="A59" s="1067" t="s">
        <v>158</v>
      </c>
      <c r="B59" s="1065" t="s">
        <v>1161</v>
      </c>
    </row>
    <row r="60" spans="1:18">
      <c r="A60" s="1067" t="s">
        <v>1160</v>
      </c>
      <c r="B60" s="1065" t="s">
        <v>1497</v>
      </c>
    </row>
  </sheetData>
  <mergeCells count="6">
    <mergeCell ref="C6:E6"/>
    <mergeCell ref="F6:H6"/>
    <mergeCell ref="C28:J28"/>
    <mergeCell ref="B53:L53"/>
    <mergeCell ref="I6:J6"/>
    <mergeCell ref="K6:M6"/>
  </mergeCells>
  <pageMargins left="0.25" right="0.25" top="0.75" bottom="0.75" header="0.3" footer="0.3"/>
  <pageSetup scale="42" orientation="landscape" r:id="rId1"/>
  <rowBreaks count="1" manualBreakCount="1">
    <brk id="48" max="16383" man="1"/>
  </rowBreaks>
  <ignoredErrors>
    <ignoredError sqref="J24:M24"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891A8-2733-4252-A7B0-902CFB432DBD}">
  <sheetPr>
    <pageSetUpPr fitToPage="1"/>
  </sheetPr>
  <dimension ref="A1:V70"/>
  <sheetViews>
    <sheetView topLeftCell="J7" zoomScale="84" zoomScaleNormal="84" zoomScaleSheetLayoutView="70" workbookViewId="0">
      <selection activeCell="T12" sqref="T12"/>
    </sheetView>
  </sheetViews>
  <sheetFormatPr defaultColWidth="11.453125" defaultRowHeight="13"/>
  <cols>
    <col min="1" max="1" width="6.26953125" style="1066" customWidth="1"/>
    <col min="2" max="2" width="37.26953125" style="1065" bestFit="1" customWidth="1"/>
    <col min="3" max="20" width="22" style="1065" customWidth="1"/>
    <col min="21" max="16384" width="11.453125" style="1065"/>
  </cols>
  <sheetData>
    <row r="1" spans="1:22">
      <c r="C1" s="1078"/>
      <c r="D1" s="1078"/>
      <c r="E1" s="1078"/>
      <c r="F1" s="1078"/>
      <c r="J1" s="1078"/>
      <c r="K1" s="1426" t="s">
        <v>1249</v>
      </c>
    </row>
    <row r="2" spans="1:22">
      <c r="A2" s="1067"/>
      <c r="C2" s="1078"/>
      <c r="D2" s="1078"/>
      <c r="E2" s="1078"/>
      <c r="F2" s="1078"/>
      <c r="G2" s="1078"/>
      <c r="H2" s="1078"/>
      <c r="J2" s="1078"/>
      <c r="K2" s="1091" t="s">
        <v>1248</v>
      </c>
      <c r="M2" s="1078"/>
      <c r="O2" s="1075"/>
    </row>
    <row r="3" spans="1:22">
      <c r="A3" s="1067"/>
      <c r="C3" s="1078"/>
      <c r="D3" s="1078"/>
      <c r="E3" s="1078"/>
      <c r="F3" s="1078"/>
      <c r="G3" s="1078"/>
      <c r="H3" s="1078"/>
      <c r="J3" s="1078"/>
      <c r="K3" s="1427" t="s">
        <v>686</v>
      </c>
      <c r="M3" s="1078"/>
    </row>
    <row r="4" spans="1:22">
      <c r="A4" s="1067"/>
      <c r="C4" s="1078"/>
      <c r="D4" s="1078"/>
      <c r="E4" s="1121"/>
      <c r="F4" s="1078"/>
      <c r="G4" s="1078"/>
      <c r="H4" s="1078"/>
      <c r="I4" s="1078"/>
      <c r="J4" s="1078"/>
      <c r="K4" s="1078"/>
      <c r="L4" s="1078"/>
      <c r="M4" s="1078"/>
      <c r="P4" s="1078"/>
    </row>
    <row r="5" spans="1:22" ht="13.5" thickBot="1">
      <c r="A5" s="1067"/>
      <c r="B5" s="1097"/>
      <c r="C5" s="1097"/>
      <c r="D5" s="1097"/>
      <c r="E5" s="1097"/>
      <c r="F5" s="1097"/>
      <c r="G5" s="1078"/>
      <c r="H5" s="1078"/>
      <c r="I5" s="1078"/>
      <c r="J5" s="1078"/>
      <c r="K5" s="1078"/>
      <c r="L5" s="1078"/>
      <c r="M5" s="1097"/>
    </row>
    <row r="6" spans="1:22" ht="13.5" thickBot="1">
      <c r="A6" s="1067"/>
      <c r="B6" s="1095" t="s">
        <v>296</v>
      </c>
      <c r="C6" s="1675" t="s">
        <v>1218</v>
      </c>
      <c r="D6" s="1676"/>
      <c r="E6" s="1676"/>
      <c r="F6" s="1676"/>
      <c r="G6" s="1676"/>
      <c r="H6" s="1677"/>
      <c r="I6" s="1675" t="s">
        <v>1240</v>
      </c>
      <c r="J6" s="1676"/>
      <c r="K6" s="1676"/>
      <c r="L6" s="1676"/>
      <c r="M6" s="1676"/>
      <c r="N6" s="1677"/>
      <c r="O6" s="1675" t="s">
        <v>1247</v>
      </c>
      <c r="P6" s="1676"/>
      <c r="Q6" s="1676"/>
      <c r="R6" s="1676"/>
      <c r="S6" s="1676"/>
      <c r="T6" s="1677"/>
      <c r="V6" s="1114"/>
    </row>
    <row r="7" spans="1:22" s="1118" customFormat="1" ht="26">
      <c r="A7" s="1120" t="s">
        <v>1200</v>
      </c>
      <c r="B7" s="1095" t="s">
        <v>501</v>
      </c>
      <c r="C7" s="1095" t="s">
        <v>1230</v>
      </c>
      <c r="D7" s="1095" t="s">
        <v>348</v>
      </c>
      <c r="E7" s="1095" t="s">
        <v>270</v>
      </c>
      <c r="F7" s="1095" t="s">
        <v>1391</v>
      </c>
      <c r="G7" s="1095" t="s">
        <v>1392</v>
      </c>
      <c r="H7" s="1119" t="s">
        <v>1213</v>
      </c>
      <c r="I7" s="1095" t="s">
        <v>1230</v>
      </c>
      <c r="J7" s="1095" t="s">
        <v>348</v>
      </c>
      <c r="K7" s="1095" t="s">
        <v>270</v>
      </c>
      <c r="L7" s="1095" t="s">
        <v>1391</v>
      </c>
      <c r="M7" s="1095" t="s">
        <v>1392</v>
      </c>
      <c r="N7" s="1119" t="s">
        <v>1213</v>
      </c>
      <c r="O7" s="1095" t="s">
        <v>1230</v>
      </c>
      <c r="P7" s="1095" t="s">
        <v>348</v>
      </c>
      <c r="Q7" s="1095" t="s">
        <v>270</v>
      </c>
      <c r="R7" s="1095" t="s">
        <v>1391</v>
      </c>
      <c r="S7" s="1095" t="s">
        <v>1392</v>
      </c>
      <c r="T7" s="1119" t="s">
        <v>1213</v>
      </c>
      <c r="U7" s="1078"/>
    </row>
    <row r="8" spans="1:22" s="1070" customFormat="1">
      <c r="A8" s="1067"/>
      <c r="B8" s="1091" t="s">
        <v>1190</v>
      </c>
      <c r="C8" s="1091" t="s">
        <v>1184</v>
      </c>
      <c r="D8" s="1091" t="s">
        <v>1183</v>
      </c>
      <c r="E8" s="1095" t="s">
        <v>1182</v>
      </c>
      <c r="F8" s="1091" t="s">
        <v>1181</v>
      </c>
      <c r="G8" s="1091" t="s">
        <v>1180</v>
      </c>
      <c r="H8" s="1095" t="s">
        <v>1179</v>
      </c>
      <c r="I8" s="1091" t="s">
        <v>1178</v>
      </c>
      <c r="J8" s="1091" t="s">
        <v>1177</v>
      </c>
      <c r="K8" s="1095" t="s">
        <v>1176</v>
      </c>
      <c r="L8" s="1091" t="s">
        <v>1175</v>
      </c>
      <c r="M8" s="1095" t="s">
        <v>1174</v>
      </c>
      <c r="N8" s="1091" t="s">
        <v>1235</v>
      </c>
      <c r="O8" s="1095" t="s">
        <v>1397</v>
      </c>
      <c r="P8" s="1091" t="s">
        <v>1398</v>
      </c>
      <c r="Q8" s="1095" t="s">
        <v>1399</v>
      </c>
      <c r="R8" s="1095" t="s">
        <v>1400</v>
      </c>
      <c r="S8" s="1325" t="s">
        <v>1403</v>
      </c>
      <c r="T8" s="1095" t="s">
        <v>1401</v>
      </c>
      <c r="U8" s="1078"/>
    </row>
    <row r="9" spans="1:22" s="1070" customFormat="1">
      <c r="A9" s="1067"/>
      <c r="B9" s="1108" t="s">
        <v>1402</v>
      </c>
      <c r="C9" s="1106"/>
      <c r="D9" s="1106"/>
      <c r="E9" s="1106"/>
      <c r="F9" s="1106"/>
      <c r="G9" s="1106">
        <v>19</v>
      </c>
      <c r="H9" s="1107"/>
      <c r="I9" s="1106"/>
      <c r="J9" s="1106"/>
      <c r="K9" s="1106"/>
      <c r="L9" s="1106"/>
      <c r="M9" s="1106"/>
      <c r="N9" s="1107"/>
      <c r="O9" s="1106">
        <v>6</v>
      </c>
      <c r="P9" s="1106"/>
      <c r="Q9" s="1106"/>
      <c r="R9" s="1106">
        <v>23</v>
      </c>
      <c r="S9" s="1106">
        <v>23</v>
      </c>
      <c r="T9" s="1107"/>
      <c r="U9" s="1078"/>
    </row>
    <row r="10" spans="1:22" s="1070" customFormat="1" ht="129.75" customHeight="1">
      <c r="A10" s="1067"/>
      <c r="B10" s="1487"/>
      <c r="C10" s="1103" t="s">
        <v>1246</v>
      </c>
      <c r="D10" s="1103" t="s">
        <v>1450</v>
      </c>
      <c r="E10" s="1089" t="s">
        <v>1245</v>
      </c>
      <c r="F10" s="1089" t="s">
        <v>1404</v>
      </c>
      <c r="G10" s="1089" t="s">
        <v>1405</v>
      </c>
      <c r="H10" s="1090" t="s">
        <v>1207</v>
      </c>
      <c r="I10" s="1103" t="s">
        <v>1244</v>
      </c>
      <c r="J10" s="1103" t="s">
        <v>1243</v>
      </c>
      <c r="K10" s="1089" t="s">
        <v>1242</v>
      </c>
      <c r="L10" s="1089" t="s">
        <v>1404</v>
      </c>
      <c r="M10" s="1089" t="s">
        <v>1405</v>
      </c>
      <c r="N10" s="1090" t="s">
        <v>1207</v>
      </c>
      <c r="O10" s="1103" t="s">
        <v>1227</v>
      </c>
      <c r="P10" s="1103" t="s">
        <v>1226</v>
      </c>
      <c r="Q10" s="1103" t="s">
        <v>1225</v>
      </c>
      <c r="R10" s="1103" t="s">
        <v>1224</v>
      </c>
      <c r="S10" s="1103" t="s">
        <v>1223</v>
      </c>
      <c r="T10" s="1103" t="s">
        <v>1222</v>
      </c>
      <c r="U10" s="1078"/>
    </row>
    <row r="11" spans="1:22">
      <c r="A11" s="1067">
        <v>1</v>
      </c>
      <c r="B11" s="1086" t="s">
        <v>1171</v>
      </c>
      <c r="C11" s="1085">
        <f>+'5 - Cost Support'!G9</f>
        <v>9356623428</v>
      </c>
      <c r="D11" s="1083">
        <f>+'5 - Cost Support'!G15</f>
        <v>2213743620</v>
      </c>
      <c r="E11" s="1083">
        <f>+'5 - Cost Support'!G16</f>
        <v>324693160</v>
      </c>
      <c r="F11" s="1083">
        <v>34118639.619999997</v>
      </c>
      <c r="G11" s="1083">
        <v>12224647.82</v>
      </c>
      <c r="H11" s="1083">
        <f>+'5 - Cost Support'!G17</f>
        <v>858512499</v>
      </c>
      <c r="I11" s="1083">
        <v>924272</v>
      </c>
      <c r="J11" s="1083">
        <v>0</v>
      </c>
      <c r="K11" s="1085">
        <v>924272</v>
      </c>
      <c r="L11" s="1085">
        <v>0</v>
      </c>
      <c r="M11" s="1085">
        <v>0</v>
      </c>
      <c r="N11" s="1083">
        <v>1813034.9792790001</v>
      </c>
      <c r="O11" s="1083">
        <f t="shared" ref="O11:O23" si="0">+C11-I11</f>
        <v>9355699156</v>
      </c>
      <c r="P11" s="1083">
        <f t="shared" ref="P11:P23" si="1">+D11-J11</f>
        <v>2213743620</v>
      </c>
      <c r="Q11" s="1083">
        <f t="shared" ref="Q11:Q23" si="2">+E11-K11</f>
        <v>323768888</v>
      </c>
      <c r="R11" s="1083">
        <f t="shared" ref="R11:S23" si="3">+F11-L11</f>
        <v>34118639.619999997</v>
      </c>
      <c r="S11" s="1083">
        <f t="shared" si="3"/>
        <v>12224647.82</v>
      </c>
      <c r="T11" s="1083">
        <f t="shared" ref="T11:T23" si="4">+H11-N11</f>
        <v>856699464.02072096</v>
      </c>
      <c r="V11" s="1078"/>
    </row>
    <row r="12" spans="1:22">
      <c r="A12" s="1067">
        <v>2</v>
      </c>
      <c r="B12" s="1086" t="s">
        <v>1028</v>
      </c>
      <c r="C12" s="1085">
        <v>9383535936.5300007</v>
      </c>
      <c r="D12" s="1085">
        <v>2215941969.0599995</v>
      </c>
      <c r="E12" s="1085">
        <v>326750498.68000007</v>
      </c>
      <c r="F12" s="1085">
        <v>34118639.619999997</v>
      </c>
      <c r="G12" s="1085">
        <v>12224647.82</v>
      </c>
      <c r="H12" s="1083">
        <v>872380356.53670287</v>
      </c>
      <c r="I12" s="1085">
        <v>924271.19</v>
      </c>
      <c r="J12" s="1083">
        <v>0</v>
      </c>
      <c r="K12" s="1085">
        <v>924271.19</v>
      </c>
      <c r="L12" s="1085">
        <v>0</v>
      </c>
      <c r="M12" s="1085">
        <v>0</v>
      </c>
      <c r="N12" s="1083">
        <v>1799602.1049030002</v>
      </c>
      <c r="O12" s="1083">
        <f t="shared" si="0"/>
        <v>9382611665.3400002</v>
      </c>
      <c r="P12" s="1083">
        <f t="shared" si="1"/>
        <v>2215941969.0599995</v>
      </c>
      <c r="Q12" s="1083">
        <f t="shared" si="2"/>
        <v>325826227.49000007</v>
      </c>
      <c r="R12" s="1083">
        <f t="shared" si="3"/>
        <v>34118639.619999997</v>
      </c>
      <c r="S12" s="1083">
        <f t="shared" si="3"/>
        <v>12224647.82</v>
      </c>
      <c r="T12" s="1083">
        <f t="shared" si="4"/>
        <v>870580754.43179989</v>
      </c>
      <c r="U12" s="1078"/>
      <c r="V12" s="1078"/>
    </row>
    <row r="13" spans="1:22">
      <c r="A13" s="1067">
        <v>3</v>
      </c>
      <c r="B13" s="1078" t="s">
        <v>1029</v>
      </c>
      <c r="C13" s="1085">
        <v>9413776677.869997</v>
      </c>
      <c r="D13" s="1085">
        <v>2218234320.48</v>
      </c>
      <c r="E13" s="1085">
        <v>329460301.48000002</v>
      </c>
      <c r="F13" s="1085">
        <v>34118639.619999997</v>
      </c>
      <c r="G13" s="1085">
        <v>12224647.82</v>
      </c>
      <c r="H13" s="1083">
        <v>869088603.5288161</v>
      </c>
      <c r="I13" s="1085">
        <v>924271.19</v>
      </c>
      <c r="J13" s="1083">
        <v>0</v>
      </c>
      <c r="K13" s="1085">
        <v>924271.19</v>
      </c>
      <c r="L13" s="1085">
        <v>0</v>
      </c>
      <c r="M13" s="1085">
        <v>0</v>
      </c>
      <c r="N13" s="1083">
        <v>1786805.6307860001</v>
      </c>
      <c r="O13" s="1083">
        <f t="shared" si="0"/>
        <v>9412852406.6799965</v>
      </c>
      <c r="P13" s="1083">
        <f t="shared" si="1"/>
        <v>2218234320.48</v>
      </c>
      <c r="Q13" s="1083">
        <f t="shared" si="2"/>
        <v>328536030.29000002</v>
      </c>
      <c r="R13" s="1083">
        <f t="shared" si="3"/>
        <v>34118639.619999997</v>
      </c>
      <c r="S13" s="1083">
        <f t="shared" si="3"/>
        <v>12224647.82</v>
      </c>
      <c r="T13" s="1083">
        <f t="shared" si="4"/>
        <v>867301797.89803016</v>
      </c>
      <c r="U13" s="1078"/>
      <c r="V13" s="1078"/>
    </row>
    <row r="14" spans="1:22">
      <c r="A14" s="1067">
        <v>4</v>
      </c>
      <c r="B14" s="1078" t="s">
        <v>1170</v>
      </c>
      <c r="C14" s="1085">
        <v>9428639906.1699982</v>
      </c>
      <c r="D14" s="1085">
        <v>2214845655.9199996</v>
      </c>
      <c r="E14" s="1085">
        <v>331551152.53999996</v>
      </c>
      <c r="F14" s="1085">
        <v>34118639.619999997</v>
      </c>
      <c r="G14" s="1085">
        <v>12224647.82</v>
      </c>
      <c r="H14" s="1083">
        <v>871405682.30458593</v>
      </c>
      <c r="I14" s="1085">
        <v>924271.19</v>
      </c>
      <c r="J14" s="1083">
        <v>0</v>
      </c>
      <c r="K14" s="1085">
        <v>924271.19</v>
      </c>
      <c r="L14" s="1085">
        <v>0</v>
      </c>
      <c r="M14" s="1085">
        <v>0</v>
      </c>
      <c r="N14" s="1083">
        <v>1786805.6307860001</v>
      </c>
      <c r="O14" s="1083">
        <f t="shared" si="0"/>
        <v>9427715634.9799976</v>
      </c>
      <c r="P14" s="1083">
        <f t="shared" si="1"/>
        <v>2214845655.9199996</v>
      </c>
      <c r="Q14" s="1083">
        <f t="shared" si="2"/>
        <v>330626881.34999996</v>
      </c>
      <c r="R14" s="1083">
        <f t="shared" si="3"/>
        <v>34118639.619999997</v>
      </c>
      <c r="S14" s="1083">
        <f t="shared" si="3"/>
        <v>12224647.82</v>
      </c>
      <c r="T14" s="1083">
        <f t="shared" si="4"/>
        <v>869618876.67379999</v>
      </c>
      <c r="U14" s="1078"/>
      <c r="V14" s="1078"/>
    </row>
    <row r="15" spans="1:22">
      <c r="A15" s="1067">
        <v>5</v>
      </c>
      <c r="B15" s="1078" t="s">
        <v>502</v>
      </c>
      <c r="C15" s="1085">
        <v>9477794140.4500027</v>
      </c>
      <c r="D15" s="1085">
        <v>2229120101.9699993</v>
      </c>
      <c r="E15" s="1085">
        <v>335516072.34000015</v>
      </c>
      <c r="F15" s="1085">
        <v>34118639.619999997</v>
      </c>
      <c r="G15" s="1085">
        <v>12224647.82</v>
      </c>
      <c r="H15" s="1083">
        <v>871185048.04322195</v>
      </c>
      <c r="I15" s="1085">
        <v>924271.19</v>
      </c>
      <c r="J15" s="1083">
        <v>0</v>
      </c>
      <c r="K15" s="1085">
        <v>924271.19</v>
      </c>
      <c r="L15" s="1085">
        <v>0</v>
      </c>
      <c r="M15" s="1085">
        <v>0</v>
      </c>
      <c r="N15" s="1083">
        <v>1786805.6307860001</v>
      </c>
      <c r="O15" s="1083">
        <f t="shared" si="0"/>
        <v>9476869869.2600021</v>
      </c>
      <c r="P15" s="1083">
        <f t="shared" si="1"/>
        <v>2229120101.9699993</v>
      </c>
      <c r="Q15" s="1083">
        <f t="shared" si="2"/>
        <v>334591801.15000015</v>
      </c>
      <c r="R15" s="1083">
        <f t="shared" si="3"/>
        <v>34118639.619999997</v>
      </c>
      <c r="S15" s="1083">
        <f t="shared" si="3"/>
        <v>12224647.82</v>
      </c>
      <c r="T15" s="1083">
        <f t="shared" si="4"/>
        <v>869398242.41243601</v>
      </c>
      <c r="U15" s="1078"/>
      <c r="V15" s="1078"/>
    </row>
    <row r="16" spans="1:22">
      <c r="A16" s="1067">
        <v>6</v>
      </c>
      <c r="B16" s="1078" t="s">
        <v>503</v>
      </c>
      <c r="C16" s="1085">
        <v>9691231353.8600025</v>
      </c>
      <c r="D16" s="1085">
        <v>2402169492.4400005</v>
      </c>
      <c r="E16" s="1085">
        <v>353222666</v>
      </c>
      <c r="F16" s="1085">
        <v>34118639.619999997</v>
      </c>
      <c r="G16" s="1085">
        <v>12224647.82</v>
      </c>
      <c r="H16" s="1083">
        <v>875419350.97962403</v>
      </c>
      <c r="I16" s="1085">
        <v>924271.19</v>
      </c>
      <c r="J16" s="1083">
        <v>0</v>
      </c>
      <c r="K16" s="1085">
        <v>924271.19</v>
      </c>
      <c r="L16" s="1085">
        <v>0</v>
      </c>
      <c r="M16" s="1085">
        <v>0</v>
      </c>
      <c r="N16" s="1083">
        <v>1786456.0045860002</v>
      </c>
      <c r="O16" s="1083">
        <f t="shared" si="0"/>
        <v>9690307082.670002</v>
      </c>
      <c r="P16" s="1083">
        <f t="shared" si="1"/>
        <v>2402169492.4400005</v>
      </c>
      <c r="Q16" s="1083">
        <f t="shared" si="2"/>
        <v>352298394.81</v>
      </c>
      <c r="R16" s="1083">
        <f t="shared" si="3"/>
        <v>34118639.619999997</v>
      </c>
      <c r="S16" s="1083">
        <f t="shared" si="3"/>
        <v>12224647.82</v>
      </c>
      <c r="T16" s="1083">
        <f t="shared" si="4"/>
        <v>873632894.97503805</v>
      </c>
      <c r="U16" s="1078"/>
      <c r="V16" s="1078"/>
    </row>
    <row r="17" spans="1:22">
      <c r="A17" s="1067">
        <v>7</v>
      </c>
      <c r="B17" s="1078" t="s">
        <v>504</v>
      </c>
      <c r="C17" s="1085">
        <v>9707162716.3199997</v>
      </c>
      <c r="D17" s="1085">
        <v>2409289691.9300008</v>
      </c>
      <c r="E17" s="1085">
        <v>345135212.77999997</v>
      </c>
      <c r="F17" s="1085">
        <v>34118639.619999997</v>
      </c>
      <c r="G17" s="1085">
        <v>12224647.82</v>
      </c>
      <c r="H17" s="1083">
        <v>892520145.70853186</v>
      </c>
      <c r="I17" s="1085">
        <v>924271.19</v>
      </c>
      <c r="J17" s="1083">
        <v>0</v>
      </c>
      <c r="K17" s="1085">
        <v>924271.19</v>
      </c>
      <c r="L17" s="1085">
        <v>0</v>
      </c>
      <c r="M17" s="1085">
        <v>0</v>
      </c>
      <c r="N17" s="1083">
        <v>1786456.0045860002</v>
      </c>
      <c r="O17" s="1083">
        <f t="shared" si="0"/>
        <v>9706238445.1299992</v>
      </c>
      <c r="P17" s="1083">
        <f t="shared" si="1"/>
        <v>2409289691.9300008</v>
      </c>
      <c r="Q17" s="1083">
        <f t="shared" si="2"/>
        <v>344210941.58999997</v>
      </c>
      <c r="R17" s="1083">
        <f t="shared" si="3"/>
        <v>34118639.619999997</v>
      </c>
      <c r="S17" s="1083">
        <f t="shared" si="3"/>
        <v>12224647.82</v>
      </c>
      <c r="T17" s="1083">
        <f t="shared" si="4"/>
        <v>890733689.70394588</v>
      </c>
      <c r="U17" s="1078"/>
      <c r="V17" s="1078"/>
    </row>
    <row r="18" spans="1:22">
      <c r="A18" s="1067">
        <v>8</v>
      </c>
      <c r="B18" s="1078" t="s">
        <v>1031</v>
      </c>
      <c r="C18" s="1085">
        <v>9773454819.3200016</v>
      </c>
      <c r="D18" s="1085">
        <v>2421550640.7200007</v>
      </c>
      <c r="E18" s="1085">
        <v>347783656.27999997</v>
      </c>
      <c r="F18" s="1085">
        <v>34118639.619999997</v>
      </c>
      <c r="G18" s="1085">
        <v>12224647.82</v>
      </c>
      <c r="H18" s="1083">
        <v>879769880.42737198</v>
      </c>
      <c r="I18" s="1085">
        <v>924271.19</v>
      </c>
      <c r="J18" s="1083">
        <v>0</v>
      </c>
      <c r="K18" s="1085">
        <v>924271.19</v>
      </c>
      <c r="L18" s="1085">
        <v>0</v>
      </c>
      <c r="M18" s="1085">
        <v>0</v>
      </c>
      <c r="N18" s="1083">
        <v>1786456.0045860002</v>
      </c>
      <c r="O18" s="1083">
        <f t="shared" si="0"/>
        <v>9772530548.1300011</v>
      </c>
      <c r="P18" s="1083">
        <f t="shared" si="1"/>
        <v>2421550640.7200007</v>
      </c>
      <c r="Q18" s="1083">
        <f t="shared" si="2"/>
        <v>346859385.08999997</v>
      </c>
      <c r="R18" s="1083">
        <f t="shared" si="3"/>
        <v>34118639.619999997</v>
      </c>
      <c r="S18" s="1083">
        <f t="shared" si="3"/>
        <v>12224647.82</v>
      </c>
      <c r="T18" s="1083">
        <f t="shared" si="4"/>
        <v>877983424.422786</v>
      </c>
      <c r="U18" s="1078"/>
      <c r="V18" s="1078"/>
    </row>
    <row r="19" spans="1:22">
      <c r="A19" s="1067">
        <v>9</v>
      </c>
      <c r="B19" s="1078" t="s">
        <v>1169</v>
      </c>
      <c r="C19" s="1085">
        <v>9825096837.0299969</v>
      </c>
      <c r="D19" s="1085">
        <v>2423592266.2700005</v>
      </c>
      <c r="E19" s="1085">
        <v>348143447.39999998</v>
      </c>
      <c r="F19" s="1085">
        <v>34118639.619999997</v>
      </c>
      <c r="G19" s="1085">
        <v>12224647.82</v>
      </c>
      <c r="H19" s="1083">
        <v>881715180.851318</v>
      </c>
      <c r="I19" s="1085">
        <v>924271.19</v>
      </c>
      <c r="J19" s="1083">
        <v>0</v>
      </c>
      <c r="K19" s="1085">
        <v>924271.19</v>
      </c>
      <c r="L19" s="1085">
        <v>0</v>
      </c>
      <c r="M19" s="1085">
        <v>0</v>
      </c>
      <c r="N19" s="1083">
        <v>1786456.0045860002</v>
      </c>
      <c r="O19" s="1083">
        <f t="shared" si="0"/>
        <v>9824172565.8399963</v>
      </c>
      <c r="P19" s="1083">
        <f t="shared" si="1"/>
        <v>2423592266.2700005</v>
      </c>
      <c r="Q19" s="1083">
        <f t="shared" si="2"/>
        <v>347219176.20999998</v>
      </c>
      <c r="R19" s="1083">
        <f t="shared" si="3"/>
        <v>34118639.619999997</v>
      </c>
      <c r="S19" s="1083">
        <f t="shared" si="3"/>
        <v>12224647.82</v>
      </c>
      <c r="T19" s="1083">
        <f t="shared" si="4"/>
        <v>879928724.84673202</v>
      </c>
      <c r="U19" s="1078"/>
      <c r="V19" s="1078"/>
    </row>
    <row r="20" spans="1:22">
      <c r="A20" s="1067">
        <v>10</v>
      </c>
      <c r="B20" s="1078" t="s">
        <v>1033</v>
      </c>
      <c r="C20" s="1085">
        <v>9852775220.2299995</v>
      </c>
      <c r="D20" s="1085">
        <v>2427753056.8000011</v>
      </c>
      <c r="E20" s="1085">
        <v>355923428.02999997</v>
      </c>
      <c r="F20" s="1085">
        <v>34118639.619999997</v>
      </c>
      <c r="G20" s="1085">
        <v>12224647.82</v>
      </c>
      <c r="H20" s="1083">
        <v>883385270.82249403</v>
      </c>
      <c r="I20" s="1085">
        <v>791192.72</v>
      </c>
      <c r="J20" s="1083">
        <v>0</v>
      </c>
      <c r="K20" s="1085">
        <v>791192.72</v>
      </c>
      <c r="L20" s="1085">
        <v>0</v>
      </c>
      <c r="M20" s="1085">
        <v>0</v>
      </c>
      <c r="N20" s="1083">
        <v>1755388.4530820001</v>
      </c>
      <c r="O20" s="1083">
        <f t="shared" si="0"/>
        <v>9851984027.5100002</v>
      </c>
      <c r="P20" s="1083">
        <f t="shared" si="1"/>
        <v>2427753056.8000011</v>
      </c>
      <c r="Q20" s="1083">
        <f t="shared" si="2"/>
        <v>355132235.30999994</v>
      </c>
      <c r="R20" s="1083">
        <f t="shared" si="3"/>
        <v>34118639.619999997</v>
      </c>
      <c r="S20" s="1083">
        <f t="shared" si="3"/>
        <v>12224647.82</v>
      </c>
      <c r="T20" s="1083">
        <f t="shared" si="4"/>
        <v>881629882.36941206</v>
      </c>
      <c r="U20" s="1078"/>
      <c r="V20" s="1078"/>
    </row>
    <row r="21" spans="1:22">
      <c r="A21" s="1067">
        <v>11</v>
      </c>
      <c r="B21" s="1078" t="s">
        <v>1034</v>
      </c>
      <c r="C21" s="1085">
        <v>9885326195.210001</v>
      </c>
      <c r="D21" s="1085">
        <v>2430222517.250001</v>
      </c>
      <c r="E21" s="1085">
        <v>357715383.30000001</v>
      </c>
      <c r="F21" s="1085">
        <v>34118639.619999997</v>
      </c>
      <c r="G21" s="1085">
        <v>12224647.82</v>
      </c>
      <c r="H21" s="1083">
        <v>886809559.03980017</v>
      </c>
      <c r="I21" s="1085">
        <v>923333</v>
      </c>
      <c r="J21" s="1083">
        <v>0</v>
      </c>
      <c r="K21" s="1085">
        <v>923333</v>
      </c>
      <c r="L21" s="1085">
        <v>0</v>
      </c>
      <c r="M21" s="1085">
        <v>0</v>
      </c>
      <c r="N21" s="1083">
        <v>1793754.167568</v>
      </c>
      <c r="O21" s="1083">
        <f t="shared" si="0"/>
        <v>9884402862.210001</v>
      </c>
      <c r="P21" s="1083">
        <f t="shared" si="1"/>
        <v>2430222517.250001</v>
      </c>
      <c r="Q21" s="1083">
        <f t="shared" si="2"/>
        <v>356792050.30000001</v>
      </c>
      <c r="R21" s="1083">
        <f t="shared" si="3"/>
        <v>34118639.619999997</v>
      </c>
      <c r="S21" s="1083">
        <f t="shared" si="3"/>
        <v>12224647.82</v>
      </c>
      <c r="T21" s="1083">
        <f t="shared" si="4"/>
        <v>885015804.8722322</v>
      </c>
      <c r="U21" s="1078"/>
      <c r="V21" s="1078"/>
    </row>
    <row r="22" spans="1:22">
      <c r="A22" s="1067">
        <v>12</v>
      </c>
      <c r="B22" s="1078" t="s">
        <v>1035</v>
      </c>
      <c r="C22" s="1085">
        <v>9929539501.8000011</v>
      </c>
      <c r="D22" s="1085">
        <v>2435000056.7400002</v>
      </c>
      <c r="E22" s="1085">
        <v>363730863.31</v>
      </c>
      <c r="F22" s="1085">
        <v>34118639.619999997</v>
      </c>
      <c r="G22" s="1085">
        <v>12224647.82</v>
      </c>
      <c r="H22" s="1083">
        <v>900047528.40296817</v>
      </c>
      <c r="I22" s="1085">
        <v>923333</v>
      </c>
      <c r="J22" s="1083">
        <v>0</v>
      </c>
      <c r="K22" s="1085">
        <v>923333</v>
      </c>
      <c r="L22" s="1085">
        <v>0</v>
      </c>
      <c r="M22" s="1085">
        <v>0</v>
      </c>
      <c r="N22" s="1083">
        <v>1790628.4409200002</v>
      </c>
      <c r="O22" s="1083">
        <f>+C22-I22</f>
        <v>9928616168.8000011</v>
      </c>
      <c r="P22" s="1083">
        <f t="shared" si="1"/>
        <v>2435000056.7400002</v>
      </c>
      <c r="Q22" s="1083">
        <f t="shared" si="2"/>
        <v>362807530.31</v>
      </c>
      <c r="R22" s="1083">
        <f t="shared" si="3"/>
        <v>34118639.619999997</v>
      </c>
      <c r="S22" s="1083">
        <f t="shared" si="3"/>
        <v>12224647.82</v>
      </c>
      <c r="T22" s="1083">
        <f t="shared" si="4"/>
        <v>898256899.96204817</v>
      </c>
      <c r="U22" s="1078"/>
      <c r="V22" s="1078"/>
    </row>
    <row r="23" spans="1:22">
      <c r="A23" s="1067">
        <v>13</v>
      </c>
      <c r="B23" s="1078" t="s">
        <v>1168</v>
      </c>
      <c r="C23" s="1083">
        <v>9997681406.4900036</v>
      </c>
      <c r="D23" s="1083">
        <v>2452543985.6100006</v>
      </c>
      <c r="E23" s="1083">
        <v>384040091</v>
      </c>
      <c r="F23" s="1083">
        <v>34118639.619999997</v>
      </c>
      <c r="G23" s="1083">
        <v>12224647.82</v>
      </c>
      <c r="H23" s="1083">
        <v>917959076</v>
      </c>
      <c r="I23" s="1083">
        <v>923333</v>
      </c>
      <c r="J23" s="1083">
        <v>0</v>
      </c>
      <c r="K23" s="1085">
        <v>923333</v>
      </c>
      <c r="L23" s="1085">
        <v>0</v>
      </c>
      <c r="M23" s="1085">
        <v>0</v>
      </c>
      <c r="N23" s="1083">
        <v>1781909.830844</v>
      </c>
      <c r="O23" s="1083">
        <f t="shared" si="0"/>
        <v>9996758073.4900036</v>
      </c>
      <c r="P23" s="1083">
        <f t="shared" si="1"/>
        <v>2452543985.6100006</v>
      </c>
      <c r="Q23" s="1083">
        <f t="shared" si="2"/>
        <v>383116758</v>
      </c>
      <c r="R23" s="1083">
        <f t="shared" si="3"/>
        <v>34118639.619999997</v>
      </c>
      <c r="S23" s="1083">
        <f t="shared" si="3"/>
        <v>12224647.82</v>
      </c>
      <c r="T23" s="1083">
        <f t="shared" si="4"/>
        <v>916177166.16915596</v>
      </c>
      <c r="U23" s="1078"/>
      <c r="V23" s="1078"/>
    </row>
    <row r="24" spans="1:22" ht="13.5" thickBot="1">
      <c r="A24" s="1067">
        <v>14</v>
      </c>
      <c r="B24" s="1115" t="s">
        <v>1221</v>
      </c>
      <c r="C24" s="1079">
        <f>SUM(C11:C23)/13</f>
        <v>9670972164.5600014</v>
      </c>
      <c r="D24" s="1079">
        <f t="shared" ref="D24:T24" si="5">SUM(D11:D23)/13</f>
        <v>2345692875.014616</v>
      </c>
      <c r="E24" s="1079">
        <f t="shared" si="5"/>
        <v>346435841.01076931</v>
      </c>
      <c r="F24" s="1079">
        <f t="shared" ref="F24" si="6">SUM(F11:F23)/13</f>
        <v>34118639.619999997</v>
      </c>
      <c r="G24" s="1079">
        <f t="shared" ref="G24" si="7">SUM(G11:G23)/13</f>
        <v>12224647.819999997</v>
      </c>
      <c r="H24" s="1079">
        <f t="shared" si="5"/>
        <v>881553706.28041816</v>
      </c>
      <c r="I24" s="1079">
        <f t="shared" si="5"/>
        <v>913817.94153846137</v>
      </c>
      <c r="J24" s="1079">
        <f t="shared" si="5"/>
        <v>0</v>
      </c>
      <c r="K24" s="1079">
        <f t="shared" si="5"/>
        <v>913817.94153846137</v>
      </c>
      <c r="L24" s="1079">
        <f t="shared" ref="L24:M24" si="8">SUM(L11:L23)/13</f>
        <v>0</v>
      </c>
      <c r="M24" s="1079">
        <f t="shared" si="8"/>
        <v>0</v>
      </c>
      <c r="N24" s="1079">
        <f t="shared" si="5"/>
        <v>1787735.299022923</v>
      </c>
      <c r="O24" s="1079">
        <f t="shared" si="5"/>
        <v>9670058346.6184616</v>
      </c>
      <c r="P24" s="1079">
        <f t="shared" si="5"/>
        <v>2345692875.014616</v>
      </c>
      <c r="Q24" s="1079">
        <f t="shared" si="5"/>
        <v>345522023.06923074</v>
      </c>
      <c r="R24" s="1079">
        <f t="shared" ref="R24" si="9">SUM(R11:R23)/13</f>
        <v>34118639.619999997</v>
      </c>
      <c r="S24" s="1079">
        <f t="shared" ref="S24" si="10">SUM(S11:S23)/13</f>
        <v>12224647.819999997</v>
      </c>
      <c r="T24" s="1079">
        <f t="shared" si="5"/>
        <v>879765970.98139513</v>
      </c>
      <c r="U24" s="1078"/>
    </row>
    <row r="25" spans="1:22" s="1491" customFormat="1" ht="14" thickTop="1" thickBot="1">
      <c r="A25" s="1488"/>
      <c r="B25" s="1489"/>
      <c r="C25" s="1484"/>
      <c r="D25" s="1484"/>
      <c r="E25" s="1490"/>
      <c r="F25" s="1490"/>
      <c r="G25" s="1489"/>
      <c r="H25" s="1489"/>
      <c r="I25" s="1484"/>
      <c r="J25" s="1484"/>
      <c r="K25" s="1484"/>
      <c r="L25" s="1484"/>
    </row>
    <row r="26" spans="1:22" s="1110" customFormat="1" ht="13.5" thickBot="1">
      <c r="A26" s="1109"/>
      <c r="B26" s="1097"/>
      <c r="C26" s="1675" t="s">
        <v>1241</v>
      </c>
      <c r="D26" s="1676"/>
      <c r="E26" s="1676"/>
      <c r="F26" s="1676"/>
      <c r="G26" s="1676"/>
      <c r="H26" s="1676"/>
      <c r="I26" s="1676"/>
      <c r="J26" s="1677"/>
      <c r="K26" s="1675" t="s">
        <v>1240</v>
      </c>
      <c r="L26" s="1676"/>
      <c r="M26" s="1676"/>
      <c r="N26" s="1676"/>
      <c r="O26" s="1676"/>
      <c r="P26" s="1676"/>
      <c r="Q26" s="1676"/>
      <c r="R26" s="1677"/>
    </row>
    <row r="27" spans="1:22" s="1118" customFormat="1" ht="26">
      <c r="A27" s="1120" t="s">
        <v>1200</v>
      </c>
      <c r="B27" s="1095" t="s">
        <v>501</v>
      </c>
      <c r="C27" s="1095" t="s">
        <v>1230</v>
      </c>
      <c r="D27" s="1095" t="s">
        <v>348</v>
      </c>
      <c r="E27" s="1480" t="s">
        <v>1239</v>
      </c>
      <c r="F27" s="1119" t="s">
        <v>1238</v>
      </c>
      <c r="G27" s="1119" t="s">
        <v>1393</v>
      </c>
      <c r="H27" s="1119" t="s">
        <v>1394</v>
      </c>
      <c r="I27" s="1119" t="s">
        <v>1237</v>
      </c>
      <c r="J27" s="1119" t="s">
        <v>1236</v>
      </c>
      <c r="K27" s="1095" t="s">
        <v>1230</v>
      </c>
      <c r="L27" s="1095" t="s">
        <v>348</v>
      </c>
      <c r="M27" s="1095" t="s">
        <v>1239</v>
      </c>
      <c r="N27" s="1119" t="s">
        <v>1238</v>
      </c>
      <c r="O27" s="1119" t="s">
        <v>1393</v>
      </c>
      <c r="P27" s="1119" t="s">
        <v>1394</v>
      </c>
      <c r="Q27" s="1119" t="s">
        <v>1237</v>
      </c>
      <c r="R27" s="1119" t="s">
        <v>1236</v>
      </c>
    </row>
    <row r="28" spans="1:22" s="1070" customFormat="1">
      <c r="A28" s="1067"/>
      <c r="B28" s="1091" t="s">
        <v>1190</v>
      </c>
      <c r="C28" s="1091" t="s">
        <v>1184</v>
      </c>
      <c r="D28" s="1091" t="s">
        <v>1183</v>
      </c>
      <c r="E28" s="1095" t="s">
        <v>1182</v>
      </c>
      <c r="F28" s="1091" t="s">
        <v>1181</v>
      </c>
      <c r="G28" s="1091" t="s">
        <v>1180</v>
      </c>
      <c r="H28" s="1095" t="s">
        <v>1179</v>
      </c>
      <c r="I28" s="1091" t="s">
        <v>1178</v>
      </c>
      <c r="J28" s="1091" t="s">
        <v>1177</v>
      </c>
      <c r="K28" s="1095" t="s">
        <v>1176</v>
      </c>
      <c r="L28" s="1091" t="s">
        <v>1175</v>
      </c>
      <c r="M28" s="1095" t="s">
        <v>1174</v>
      </c>
      <c r="N28" s="1091" t="s">
        <v>1235</v>
      </c>
      <c r="O28" s="1095" t="s">
        <v>1397</v>
      </c>
      <c r="P28" s="1091" t="s">
        <v>1398</v>
      </c>
      <c r="Q28" s="1095" t="s">
        <v>1399</v>
      </c>
      <c r="R28" s="1095" t="s">
        <v>1400</v>
      </c>
      <c r="S28" s="1095"/>
      <c r="T28" s="1095"/>
    </row>
    <row r="29" spans="1:22" s="1070" customFormat="1">
      <c r="A29" s="1067"/>
      <c r="B29" s="1108" t="s">
        <v>1402</v>
      </c>
      <c r="C29" s="1117"/>
      <c r="D29" s="1106"/>
      <c r="E29" s="1106"/>
      <c r="H29" s="1106"/>
      <c r="I29" s="1107"/>
      <c r="J29" s="1107"/>
      <c r="K29" s="1106"/>
      <c r="L29" s="1106"/>
      <c r="M29" s="1106"/>
      <c r="N29" s="1107"/>
      <c r="O29" s="1107"/>
      <c r="P29" s="1107"/>
    </row>
    <row r="30" spans="1:22" s="1070" customFormat="1" ht="78">
      <c r="A30" s="1067"/>
      <c r="B30" s="1091"/>
      <c r="C30" s="1103" t="s">
        <v>1234</v>
      </c>
      <c r="D30" s="1103" t="s">
        <v>1233</v>
      </c>
      <c r="E30" s="1089" t="s">
        <v>1232</v>
      </c>
      <c r="F30" s="1104" t="s">
        <v>1208</v>
      </c>
      <c r="G30" s="1089" t="s">
        <v>1404</v>
      </c>
      <c r="H30" s="1089" t="s">
        <v>1405</v>
      </c>
      <c r="I30" s="1090" t="s">
        <v>1207</v>
      </c>
      <c r="J30" s="1090" t="s">
        <v>1207</v>
      </c>
      <c r="K30" s="1103" t="s">
        <v>1234</v>
      </c>
      <c r="L30" s="1103" t="s">
        <v>1233</v>
      </c>
      <c r="M30" s="1089" t="s">
        <v>1232</v>
      </c>
      <c r="N30" s="1104" t="s">
        <v>1208</v>
      </c>
      <c r="O30" s="1089" t="s">
        <v>1404</v>
      </c>
      <c r="P30" s="1089" t="s">
        <v>1405</v>
      </c>
      <c r="Q30" s="1090" t="s">
        <v>1207</v>
      </c>
      <c r="R30" s="1090" t="s">
        <v>1207</v>
      </c>
    </row>
    <row r="31" spans="1:22">
      <c r="A31" s="1067">
        <v>15</v>
      </c>
      <c r="B31" s="1086" t="s">
        <v>1171</v>
      </c>
      <c r="C31" s="1083">
        <f>+'5 - Cost Support'!G10</f>
        <v>3107775321</v>
      </c>
      <c r="D31" s="1083">
        <f>+'5 - Cost Support'!G19</f>
        <v>494626096</v>
      </c>
      <c r="E31" s="1083">
        <f>+'5 - Cost Support'!G20</f>
        <v>37803717</v>
      </c>
      <c r="F31" s="1083">
        <f>+'5 - Cost Support'!G21</f>
        <v>69530275</v>
      </c>
      <c r="G31" s="1083">
        <v>25789425.130000003</v>
      </c>
      <c r="H31" s="1083">
        <v>9610429.4000000004</v>
      </c>
      <c r="I31" s="1083">
        <f>+'5 - Cost Support'!G13</f>
        <v>91687648</v>
      </c>
      <c r="J31" s="1083">
        <f>+'5 - Cost Support'!G12</f>
        <v>191688991.22204101</v>
      </c>
      <c r="K31" s="1083">
        <v>740829.18</v>
      </c>
      <c r="L31" s="1085">
        <v>0</v>
      </c>
      <c r="M31" s="1083">
        <v>740829.18</v>
      </c>
      <c r="N31" s="1085">
        <v>0</v>
      </c>
      <c r="O31" s="1085">
        <v>0</v>
      </c>
      <c r="P31" s="1085">
        <v>0</v>
      </c>
      <c r="Q31" s="1083">
        <v>-1564412.061282</v>
      </c>
      <c r="R31" s="1083">
        <v>0</v>
      </c>
      <c r="T31" s="1078"/>
    </row>
    <row r="32" spans="1:22">
      <c r="A32" s="1067">
        <v>16</v>
      </c>
      <c r="B32" s="1086" t="s">
        <v>1028</v>
      </c>
      <c r="C32" s="1085">
        <v>3124240312.4399996</v>
      </c>
      <c r="D32" s="1085">
        <v>498566722.36000013</v>
      </c>
      <c r="E32" s="1085">
        <v>39396529.82</v>
      </c>
      <c r="F32" s="1085">
        <v>71103542.409999996</v>
      </c>
      <c r="G32" s="1085">
        <v>26050318.800000001</v>
      </c>
      <c r="H32" s="1085">
        <v>9682420.2200000007</v>
      </c>
      <c r="I32" s="1083">
        <v>93996712.51961109</v>
      </c>
      <c r="J32" s="1083">
        <v>195651691.56792</v>
      </c>
      <c r="K32" s="1085">
        <v>743727.6</v>
      </c>
      <c r="L32" s="1085">
        <v>0</v>
      </c>
      <c r="M32" s="1085">
        <v>743727.6</v>
      </c>
      <c r="N32" s="1085">
        <v>0</v>
      </c>
      <c r="O32" s="1085">
        <v>0</v>
      </c>
      <c r="P32" s="1085">
        <v>0</v>
      </c>
      <c r="Q32" s="1083">
        <v>-1533373.667319</v>
      </c>
      <c r="R32" s="1083">
        <v>0</v>
      </c>
      <c r="T32" s="1078"/>
    </row>
    <row r="33" spans="1:20">
      <c r="A33" s="1067">
        <v>17</v>
      </c>
      <c r="B33" s="1078" t="s">
        <v>1029</v>
      </c>
      <c r="C33" s="1085">
        <v>3141575453.6400013</v>
      </c>
      <c r="D33" s="1085">
        <v>502400348.74000013</v>
      </c>
      <c r="E33" s="1085">
        <v>42293013.93</v>
      </c>
      <c r="F33" s="1085">
        <v>72705105.00999999</v>
      </c>
      <c r="G33" s="1085">
        <v>26311212.800000001</v>
      </c>
      <c r="H33" s="1085">
        <v>9754411.0299999993</v>
      </c>
      <c r="I33" s="1083">
        <v>95768423.909070045</v>
      </c>
      <c r="J33" s="1083">
        <v>198093384.361532</v>
      </c>
      <c r="K33" s="1085">
        <v>746626.02</v>
      </c>
      <c r="L33" s="1085">
        <v>0</v>
      </c>
      <c r="M33" s="1085">
        <v>746626.02</v>
      </c>
      <c r="N33" s="1085">
        <v>0</v>
      </c>
      <c r="O33" s="1085">
        <v>0</v>
      </c>
      <c r="P33" s="1085">
        <v>0</v>
      </c>
      <c r="Q33" s="1083">
        <v>-1478315.2179180002</v>
      </c>
      <c r="R33" s="1083">
        <v>0</v>
      </c>
      <c r="T33" s="1078"/>
    </row>
    <row r="34" spans="1:20">
      <c r="A34" s="1067">
        <v>18</v>
      </c>
      <c r="B34" s="1078" t="s">
        <v>1170</v>
      </c>
      <c r="C34" s="1085">
        <v>3146037908.2499995</v>
      </c>
      <c r="D34" s="1085">
        <v>503308846.37000012</v>
      </c>
      <c r="E34" s="1085">
        <v>43899992.789999992</v>
      </c>
      <c r="F34" s="1085">
        <v>74306384.689999998</v>
      </c>
      <c r="G34" s="1085">
        <v>26572106.490000002</v>
      </c>
      <c r="H34" s="1085">
        <v>9826401.8399999999</v>
      </c>
      <c r="I34" s="1083">
        <v>98172251.21233204</v>
      </c>
      <c r="J34" s="1083">
        <v>201940146.62018999</v>
      </c>
      <c r="K34" s="1085">
        <v>749524.44</v>
      </c>
      <c r="L34" s="1085">
        <v>0</v>
      </c>
      <c r="M34" s="1085">
        <v>749524.44</v>
      </c>
      <c r="N34" s="1085">
        <v>0</v>
      </c>
      <c r="O34" s="1085">
        <v>0</v>
      </c>
      <c r="P34" s="1085">
        <v>0</v>
      </c>
      <c r="Q34" s="1083">
        <v>-1434160.1656580002</v>
      </c>
      <c r="R34" s="1083">
        <v>0</v>
      </c>
      <c r="T34" s="1078"/>
    </row>
    <row r="35" spans="1:20">
      <c r="A35" s="1067">
        <v>19</v>
      </c>
      <c r="B35" s="1078" t="s">
        <v>502</v>
      </c>
      <c r="C35" s="1085">
        <v>3159502777.6999993</v>
      </c>
      <c r="D35" s="1085">
        <v>505728308.39999992</v>
      </c>
      <c r="E35" s="1085">
        <v>45537942.119999997</v>
      </c>
      <c r="F35" s="1085">
        <v>75963656.430000007</v>
      </c>
      <c r="G35" s="1085">
        <v>26833000.449999999</v>
      </c>
      <c r="H35" s="1085">
        <v>9898392.6500000004</v>
      </c>
      <c r="I35" s="1083">
        <v>100276500.33456001</v>
      </c>
      <c r="J35" s="1083">
        <v>205788696.727658</v>
      </c>
      <c r="K35" s="1085">
        <v>752422.86</v>
      </c>
      <c r="L35" s="1085">
        <v>0</v>
      </c>
      <c r="M35" s="1085">
        <v>752422.86</v>
      </c>
      <c r="N35" s="1085">
        <v>0</v>
      </c>
      <c r="O35" s="1085">
        <v>0</v>
      </c>
      <c r="P35" s="1085">
        <v>0</v>
      </c>
      <c r="Q35" s="1083">
        <v>-1390005.1133980001</v>
      </c>
      <c r="R35" s="1083">
        <v>0</v>
      </c>
      <c r="T35" s="1078"/>
    </row>
    <row r="36" spans="1:20" ht="13.5" customHeight="1">
      <c r="A36" s="1067">
        <v>20</v>
      </c>
      <c r="B36" s="1078" t="s">
        <v>503</v>
      </c>
      <c r="C36" s="1085">
        <v>3173733938.6600003</v>
      </c>
      <c r="D36" s="1085">
        <v>509640941.46999997</v>
      </c>
      <c r="E36" s="1085">
        <v>47254786.939999998</v>
      </c>
      <c r="F36" s="1085">
        <v>77631025.810000002</v>
      </c>
      <c r="G36" s="1085">
        <v>27093894.140000001</v>
      </c>
      <c r="H36" s="1085">
        <v>9970383.4600000009</v>
      </c>
      <c r="I36" s="1083">
        <v>99824810.700054079</v>
      </c>
      <c r="J36" s="1083">
        <v>209689980.818032</v>
      </c>
      <c r="K36" s="1085">
        <v>755321.28</v>
      </c>
      <c r="L36" s="1085">
        <v>0</v>
      </c>
      <c r="M36" s="1085">
        <v>755321.28</v>
      </c>
      <c r="N36" s="1085">
        <v>0</v>
      </c>
      <c r="O36" s="1085">
        <v>0</v>
      </c>
      <c r="P36" s="1085">
        <v>0</v>
      </c>
      <c r="Q36" s="1083">
        <v>-1346199.6941800001</v>
      </c>
      <c r="R36" s="1083">
        <v>0</v>
      </c>
      <c r="T36" s="1078"/>
    </row>
    <row r="37" spans="1:20">
      <c r="A37" s="1067">
        <v>21</v>
      </c>
      <c r="B37" s="1078" t="s">
        <v>504</v>
      </c>
      <c r="C37" s="1085">
        <v>3187055900.3800011</v>
      </c>
      <c r="D37" s="1085">
        <v>512483945.91000009</v>
      </c>
      <c r="E37" s="1085">
        <v>48989408.550000012</v>
      </c>
      <c r="F37" s="1085">
        <v>66920867.239999995</v>
      </c>
      <c r="G37" s="1085">
        <v>27354788.119999997</v>
      </c>
      <c r="H37" s="1085">
        <v>10042374.279999999</v>
      </c>
      <c r="I37" s="1083">
        <v>102101205.43174207</v>
      </c>
      <c r="J37" s="1083">
        <v>227505217.063784</v>
      </c>
      <c r="K37" s="1085">
        <v>758219.7</v>
      </c>
      <c r="L37" s="1085">
        <v>0</v>
      </c>
      <c r="M37" s="1085">
        <v>758219.7</v>
      </c>
      <c r="N37" s="1085">
        <v>0</v>
      </c>
      <c r="O37" s="1085">
        <v>0</v>
      </c>
      <c r="P37" s="1085">
        <v>0</v>
      </c>
      <c r="Q37" s="1083">
        <v>-1302044.6419200001</v>
      </c>
      <c r="R37" s="1083">
        <v>0</v>
      </c>
      <c r="T37" s="1078"/>
    </row>
    <row r="38" spans="1:20">
      <c r="A38" s="1067">
        <v>22</v>
      </c>
      <c r="B38" s="1078" t="s">
        <v>1031</v>
      </c>
      <c r="C38" s="1085">
        <v>3186209629.960001</v>
      </c>
      <c r="D38" s="1085">
        <v>512092237.31000006</v>
      </c>
      <c r="E38" s="1085">
        <v>43002465.140000001</v>
      </c>
      <c r="F38" s="1085">
        <v>68618718.890000001</v>
      </c>
      <c r="G38" s="1085">
        <v>27615681.82</v>
      </c>
      <c r="H38" s="1085">
        <v>10114365.08</v>
      </c>
      <c r="I38" s="1083">
        <v>87501737.539238095</v>
      </c>
      <c r="J38" s="1083">
        <v>231441688.10965401</v>
      </c>
      <c r="K38" s="1085">
        <v>761118.12</v>
      </c>
      <c r="L38" s="1085">
        <v>0</v>
      </c>
      <c r="M38" s="1085">
        <v>761118.12</v>
      </c>
      <c r="N38" s="1085">
        <v>0</v>
      </c>
      <c r="O38" s="1085">
        <v>0</v>
      </c>
      <c r="P38" s="1085">
        <v>0</v>
      </c>
      <c r="Q38" s="1083">
        <v>-1257889.5828180001</v>
      </c>
      <c r="R38" s="1083">
        <v>0</v>
      </c>
      <c r="T38" s="1078"/>
    </row>
    <row r="39" spans="1:20">
      <c r="A39" s="1067">
        <v>23</v>
      </c>
      <c r="B39" s="1078" t="s">
        <v>1169</v>
      </c>
      <c r="C39" s="1085">
        <v>3198686634.3400002</v>
      </c>
      <c r="D39" s="1085">
        <v>515892067.68000001</v>
      </c>
      <c r="E39" s="1085">
        <v>44603569.850000001</v>
      </c>
      <c r="F39" s="1085">
        <v>70310854.620000005</v>
      </c>
      <c r="G39" s="1085">
        <v>27876575.789999999</v>
      </c>
      <c r="H39" s="1085">
        <v>10186355.91</v>
      </c>
      <c r="I39" s="1083">
        <v>89706434.556089938</v>
      </c>
      <c r="J39" s="1083">
        <v>235381147.631652</v>
      </c>
      <c r="K39" s="1085">
        <v>764016.54</v>
      </c>
      <c r="L39" s="1085">
        <v>0</v>
      </c>
      <c r="M39" s="1085">
        <v>764016.54</v>
      </c>
      <c r="N39" s="1085">
        <v>0</v>
      </c>
      <c r="O39" s="1085">
        <v>0</v>
      </c>
      <c r="P39" s="1085">
        <v>0</v>
      </c>
      <c r="Q39" s="1083">
        <v>-1213734.5305580001</v>
      </c>
      <c r="R39" s="1083">
        <v>0</v>
      </c>
      <c r="T39" s="1078"/>
    </row>
    <row r="40" spans="1:20">
      <c r="A40" s="1067">
        <v>24</v>
      </c>
      <c r="B40" s="1078" t="s">
        <v>1033</v>
      </c>
      <c r="C40" s="1085">
        <v>3207029516.8100004</v>
      </c>
      <c r="D40" s="1085">
        <v>515342376.31999999</v>
      </c>
      <c r="E40" s="1085">
        <v>46221096.420000002</v>
      </c>
      <c r="F40" s="1085">
        <v>72061605.849999994</v>
      </c>
      <c r="G40" s="1085">
        <v>28137469.490000002</v>
      </c>
      <c r="H40" s="1085">
        <v>10258346.73</v>
      </c>
      <c r="I40" s="1083">
        <v>94743077.177561998</v>
      </c>
      <c r="J40" s="1083">
        <v>239329908.312132</v>
      </c>
      <c r="K40" s="1085">
        <v>765977.8</v>
      </c>
      <c r="L40" s="1085">
        <v>0</v>
      </c>
      <c r="M40" s="1085">
        <v>765977.8</v>
      </c>
      <c r="N40" s="1085">
        <v>0</v>
      </c>
      <c r="O40" s="1085">
        <v>0</v>
      </c>
      <c r="P40" s="1085">
        <v>0</v>
      </c>
      <c r="Q40" s="1083">
        <v>-1167872.221406</v>
      </c>
      <c r="R40" s="1083">
        <v>0</v>
      </c>
      <c r="T40" s="1078"/>
    </row>
    <row r="41" spans="1:20">
      <c r="A41" s="1067">
        <v>25</v>
      </c>
      <c r="B41" s="1078" t="s">
        <v>1034</v>
      </c>
      <c r="C41" s="1085">
        <v>3222445128.7600002</v>
      </c>
      <c r="D41" s="1085">
        <v>518347614.59000003</v>
      </c>
      <c r="E41" s="1085">
        <v>47835138.319999993</v>
      </c>
      <c r="F41" s="1085">
        <v>73813277.909999996</v>
      </c>
      <c r="G41" s="1085">
        <v>28398363.16</v>
      </c>
      <c r="H41" s="1085">
        <v>10330337.560000001</v>
      </c>
      <c r="I41" s="1083">
        <v>96954099.965513974</v>
      </c>
      <c r="J41" s="1083">
        <v>243274819.32078603</v>
      </c>
      <c r="K41" s="1085">
        <v>768876.22</v>
      </c>
      <c r="L41" s="1085">
        <v>0</v>
      </c>
      <c r="M41" s="1085">
        <v>768876.22</v>
      </c>
      <c r="N41" s="1085">
        <v>0</v>
      </c>
      <c r="O41" s="1085">
        <v>0</v>
      </c>
      <c r="P41" s="1085">
        <v>0</v>
      </c>
      <c r="Q41" s="1083">
        <v>-1124076.401514</v>
      </c>
      <c r="R41" s="1083">
        <v>0</v>
      </c>
      <c r="T41" s="1078"/>
    </row>
    <row r="42" spans="1:20">
      <c r="A42" s="1067">
        <v>26</v>
      </c>
      <c r="B42" s="1078" t="s">
        <v>1035</v>
      </c>
      <c r="C42" s="1085">
        <v>3237365227.0799999</v>
      </c>
      <c r="D42" s="1085">
        <v>520457292.65999997</v>
      </c>
      <c r="E42" s="1085">
        <v>49485009.339999996</v>
      </c>
      <c r="F42" s="1085">
        <v>75621003.00999999</v>
      </c>
      <c r="G42" s="1085">
        <v>28659257.170000002</v>
      </c>
      <c r="H42" s="1085">
        <v>10402328.390000001</v>
      </c>
      <c r="I42" s="1083">
        <v>94355369.568702012</v>
      </c>
      <c r="J42" s="1083">
        <v>247347170.61879</v>
      </c>
      <c r="K42" s="1085">
        <v>771774.65</v>
      </c>
      <c r="L42" s="1085">
        <v>0</v>
      </c>
      <c r="M42" s="1085">
        <v>771774.65</v>
      </c>
      <c r="N42" s="1085">
        <v>0</v>
      </c>
      <c r="O42" s="1085">
        <v>0</v>
      </c>
      <c r="P42" s="1085">
        <v>0</v>
      </c>
      <c r="Q42" s="1083">
        <v>-1081179.71621</v>
      </c>
      <c r="R42" s="1083">
        <v>0</v>
      </c>
      <c r="T42" s="1078"/>
    </row>
    <row r="43" spans="1:20">
      <c r="A43" s="1067">
        <v>27</v>
      </c>
      <c r="B43" s="1078" t="s">
        <v>1168</v>
      </c>
      <c r="C43" s="1085">
        <v>3238020656.4500012</v>
      </c>
      <c r="D43" s="1083">
        <v>518282169.79000026</v>
      </c>
      <c r="E43" s="1083">
        <v>51548969</v>
      </c>
      <c r="F43" s="1085">
        <v>77425926.139999986</v>
      </c>
      <c r="G43" s="1085">
        <v>28920150.859999999</v>
      </c>
      <c r="H43" s="1085">
        <v>10474319.210000001</v>
      </c>
      <c r="I43" s="1083">
        <v>96631133.002733946</v>
      </c>
      <c r="J43" s="1083">
        <v>251344843.25887203</v>
      </c>
      <c r="K43" s="1083">
        <v>774673.07</v>
      </c>
      <c r="L43" s="1085">
        <v>0</v>
      </c>
      <c r="M43" s="1083">
        <v>774673.07</v>
      </c>
      <c r="N43" s="1085">
        <v>0</v>
      </c>
      <c r="O43" s="1085">
        <v>0</v>
      </c>
      <c r="P43" s="1085">
        <v>0</v>
      </c>
      <c r="Q43" s="1083">
        <v>-1043875.93486</v>
      </c>
      <c r="R43" s="1083">
        <v>0</v>
      </c>
      <c r="T43" s="1078"/>
    </row>
    <row r="44" spans="1:20" ht="13.5" thickBot="1">
      <c r="A44" s="1067">
        <v>28</v>
      </c>
      <c r="B44" s="1115" t="s">
        <v>1221</v>
      </c>
      <c r="C44" s="1079">
        <f t="shared" ref="C44:R44" si="11">SUM(C31:C43)/13</f>
        <v>3179206031.1900015</v>
      </c>
      <c r="D44" s="1079">
        <f t="shared" si="11"/>
        <v>509782228.27692306</v>
      </c>
      <c r="E44" s="1079">
        <f t="shared" si="11"/>
        <v>45220895.324615389</v>
      </c>
      <c r="F44" s="1079">
        <f t="shared" si="11"/>
        <v>72770172.539230764</v>
      </c>
      <c r="G44" s="1079">
        <f t="shared" ref="G44" si="12">SUM(G31:G43)/13</f>
        <v>27354788.016923077</v>
      </c>
      <c r="H44" s="1079">
        <f t="shared" ref="H44" si="13">SUM(H31:H43)/13</f>
        <v>10042374.289230768</v>
      </c>
      <c r="I44" s="1079">
        <f t="shared" si="11"/>
        <v>95516877.224400699</v>
      </c>
      <c r="J44" s="1079">
        <f t="shared" si="11"/>
        <v>221421360.43331099</v>
      </c>
      <c r="K44" s="1079">
        <f t="shared" si="11"/>
        <v>757931.3446153847</v>
      </c>
      <c r="L44" s="1079">
        <f t="shared" si="11"/>
        <v>0</v>
      </c>
      <c r="M44" s="1079">
        <f t="shared" si="11"/>
        <v>757931.3446153847</v>
      </c>
      <c r="N44" s="1079">
        <f t="shared" ref="N44" si="14">SUM(N31:N43)/13</f>
        <v>0</v>
      </c>
      <c r="O44" s="1079">
        <f t="shared" ref="O44" si="15">SUM(O31:O43)/13</f>
        <v>0</v>
      </c>
      <c r="P44" s="1079">
        <f t="shared" ref="P44" si="16">SUM(P31:P43)/13</f>
        <v>0</v>
      </c>
      <c r="Q44" s="1079">
        <f t="shared" si="11"/>
        <v>-1302856.8422339228</v>
      </c>
      <c r="R44" s="1079">
        <f t="shared" si="11"/>
        <v>0</v>
      </c>
    </row>
    <row r="45" spans="1:20" s="1491" customFormat="1" ht="14" thickTop="1" thickBot="1">
      <c r="A45" s="1492"/>
      <c r="C45" s="1493"/>
      <c r="D45" s="1493"/>
      <c r="E45" s="1493"/>
      <c r="F45" s="1493"/>
      <c r="G45" s="1493"/>
      <c r="H45" s="1493"/>
      <c r="I45" s="1493"/>
      <c r="J45" s="1493"/>
      <c r="K45" s="1493"/>
      <c r="L45" s="1493"/>
      <c r="M45" s="1493"/>
      <c r="N45" s="1493"/>
      <c r="O45" s="1493"/>
      <c r="P45" s="1493"/>
      <c r="Q45" s="1493"/>
      <c r="R45" s="1493"/>
    </row>
    <row r="46" spans="1:20" s="1110" customFormat="1" ht="13.5" thickBot="1">
      <c r="A46" s="1116"/>
      <c r="C46" s="1675" t="s">
        <v>1231</v>
      </c>
      <c r="D46" s="1676"/>
      <c r="E46" s="1676"/>
      <c r="F46" s="1676"/>
      <c r="G46" s="1676"/>
      <c r="H46" s="1676"/>
      <c r="I46" s="1676"/>
      <c r="J46" s="1677"/>
    </row>
    <row r="47" spans="1:20" ht="26">
      <c r="A47" s="1113" t="s">
        <v>1200</v>
      </c>
      <c r="B47" s="1095" t="s">
        <v>501</v>
      </c>
      <c r="C47" s="1095" t="s">
        <v>1230</v>
      </c>
      <c r="D47" s="1095" t="s">
        <v>348</v>
      </c>
      <c r="E47" s="1095" t="s">
        <v>290</v>
      </c>
      <c r="F47" s="1095" t="s">
        <v>238</v>
      </c>
      <c r="G47" s="1119" t="s">
        <v>1395</v>
      </c>
      <c r="H47" s="1119" t="s">
        <v>1396</v>
      </c>
      <c r="I47" s="1112" t="s">
        <v>1229</v>
      </c>
      <c r="J47" s="1112" t="s">
        <v>1228</v>
      </c>
    </row>
    <row r="48" spans="1:20">
      <c r="A48" s="1109"/>
      <c r="B48" s="1091" t="s">
        <v>1190</v>
      </c>
      <c r="C48" s="1091" t="s">
        <v>1184</v>
      </c>
      <c r="D48" s="1091" t="s">
        <v>1183</v>
      </c>
      <c r="E48" s="1095" t="s">
        <v>1182</v>
      </c>
      <c r="F48" s="1091" t="s">
        <v>1181</v>
      </c>
      <c r="G48" s="1091" t="s">
        <v>1180</v>
      </c>
      <c r="H48" s="1095" t="s">
        <v>1179</v>
      </c>
      <c r="I48" s="1091" t="s">
        <v>1178</v>
      </c>
      <c r="J48" s="1091" t="s">
        <v>1177</v>
      </c>
    </row>
    <row r="49" spans="1:10">
      <c r="A49" s="1109"/>
      <c r="B49" s="1108" t="s">
        <v>1402</v>
      </c>
      <c r="C49" s="1106">
        <v>9</v>
      </c>
      <c r="D49" s="1106">
        <v>30</v>
      </c>
      <c r="E49" s="1106">
        <v>31</v>
      </c>
      <c r="F49" s="1106">
        <v>32</v>
      </c>
      <c r="G49" s="1106"/>
      <c r="H49" s="1106">
        <v>30</v>
      </c>
      <c r="I49" s="1106">
        <v>12</v>
      </c>
      <c r="J49" s="1106">
        <v>11</v>
      </c>
    </row>
    <row r="50" spans="1:10">
      <c r="A50" s="1109"/>
      <c r="B50" s="1091"/>
      <c r="C50" s="1103" t="s">
        <v>1406</v>
      </c>
      <c r="D50" s="1103" t="s">
        <v>1407</v>
      </c>
      <c r="E50" s="1103" t="s">
        <v>1408</v>
      </c>
      <c r="F50" s="1103" t="s">
        <v>1409</v>
      </c>
      <c r="G50" s="1103" t="s">
        <v>1410</v>
      </c>
      <c r="H50" s="1103" t="s">
        <v>1411</v>
      </c>
      <c r="I50" s="1103" t="s">
        <v>1412</v>
      </c>
      <c r="J50" s="1103" t="s">
        <v>1413</v>
      </c>
    </row>
    <row r="51" spans="1:10">
      <c r="A51" s="1109">
        <v>29</v>
      </c>
      <c r="B51" s="1086" t="s">
        <v>1171</v>
      </c>
      <c r="C51" s="1083">
        <f t="shared" ref="C51:C63" si="17">+C31-K31</f>
        <v>3107034491.8200002</v>
      </c>
      <c r="D51" s="1083">
        <f t="shared" ref="D51:D63" si="18">+D31-L31</f>
        <v>494626096</v>
      </c>
      <c r="E51" s="1083">
        <f t="shared" ref="E51:E63" si="19">+E31-M31</f>
        <v>37062887.82</v>
      </c>
      <c r="F51" s="1083">
        <f t="shared" ref="F51:F63" si="20">+F31-N31</f>
        <v>69530275</v>
      </c>
      <c r="G51" s="1083">
        <f t="shared" ref="G51:G63" si="21">+G31-O31</f>
        <v>25789425.130000003</v>
      </c>
      <c r="H51" s="1083">
        <f t="shared" ref="H51:H63" si="22">+H31-P31</f>
        <v>9610429.4000000004</v>
      </c>
      <c r="I51" s="1083">
        <f t="shared" ref="I51:I63" si="23">+I31-Q31</f>
        <v>93252060.061281994</v>
      </c>
      <c r="J51" s="1083">
        <f t="shared" ref="J51:J63" si="24">+J31-R31</f>
        <v>191688991.22204101</v>
      </c>
    </row>
    <row r="52" spans="1:10">
      <c r="A52" s="1109">
        <v>30</v>
      </c>
      <c r="B52" s="1086" t="s">
        <v>1028</v>
      </c>
      <c r="C52" s="1083">
        <f t="shared" si="17"/>
        <v>3123496584.8399997</v>
      </c>
      <c r="D52" s="1083">
        <f t="shared" si="18"/>
        <v>498566722.36000013</v>
      </c>
      <c r="E52" s="1083">
        <f t="shared" si="19"/>
        <v>38652802.219999999</v>
      </c>
      <c r="F52" s="1083">
        <f t="shared" si="20"/>
        <v>71103542.409999996</v>
      </c>
      <c r="G52" s="1083">
        <f t="shared" si="21"/>
        <v>26050318.800000001</v>
      </c>
      <c r="H52" s="1083">
        <f t="shared" si="22"/>
        <v>9682420.2200000007</v>
      </c>
      <c r="I52" s="1083">
        <f t="shared" si="23"/>
        <v>95530086.18693009</v>
      </c>
      <c r="J52" s="1083">
        <f t="shared" si="24"/>
        <v>195651691.56792</v>
      </c>
    </row>
    <row r="53" spans="1:10">
      <c r="A53" s="1109">
        <v>31</v>
      </c>
      <c r="B53" s="1078" t="s">
        <v>1029</v>
      </c>
      <c r="C53" s="1083">
        <f t="shared" si="17"/>
        <v>3140828827.6200013</v>
      </c>
      <c r="D53" s="1083">
        <f t="shared" si="18"/>
        <v>502400348.74000013</v>
      </c>
      <c r="E53" s="1083">
        <f t="shared" si="19"/>
        <v>41546387.909999996</v>
      </c>
      <c r="F53" s="1083">
        <f t="shared" si="20"/>
        <v>72705105.00999999</v>
      </c>
      <c r="G53" s="1083">
        <f t="shared" si="21"/>
        <v>26311212.800000001</v>
      </c>
      <c r="H53" s="1083">
        <f t="shared" si="22"/>
        <v>9754411.0299999993</v>
      </c>
      <c r="I53" s="1083">
        <f t="shared" si="23"/>
        <v>97246739.126988038</v>
      </c>
      <c r="J53" s="1083">
        <f t="shared" si="24"/>
        <v>198093384.361532</v>
      </c>
    </row>
    <row r="54" spans="1:10">
      <c r="A54" s="1109">
        <v>32</v>
      </c>
      <c r="B54" s="1078" t="s">
        <v>1170</v>
      </c>
      <c r="C54" s="1083">
        <f t="shared" si="17"/>
        <v>3145288383.8099995</v>
      </c>
      <c r="D54" s="1083">
        <f t="shared" si="18"/>
        <v>503308846.37000012</v>
      </c>
      <c r="E54" s="1083">
        <f t="shared" si="19"/>
        <v>43150468.349999994</v>
      </c>
      <c r="F54" s="1083">
        <f t="shared" si="20"/>
        <v>74306384.689999998</v>
      </c>
      <c r="G54" s="1083">
        <f t="shared" si="21"/>
        <v>26572106.490000002</v>
      </c>
      <c r="H54" s="1083">
        <f t="shared" si="22"/>
        <v>9826401.8399999999</v>
      </c>
      <c r="I54" s="1083">
        <f t="shared" si="23"/>
        <v>99606411.377990037</v>
      </c>
      <c r="J54" s="1083">
        <f t="shared" si="24"/>
        <v>201940146.62018999</v>
      </c>
    </row>
    <row r="55" spans="1:10">
      <c r="A55" s="1109">
        <v>33</v>
      </c>
      <c r="B55" s="1078" t="s">
        <v>502</v>
      </c>
      <c r="C55" s="1083">
        <f t="shared" si="17"/>
        <v>3158750354.8399992</v>
      </c>
      <c r="D55" s="1083">
        <f t="shared" si="18"/>
        <v>505728308.39999992</v>
      </c>
      <c r="E55" s="1083">
        <f t="shared" si="19"/>
        <v>44785519.259999998</v>
      </c>
      <c r="F55" s="1083">
        <f t="shared" si="20"/>
        <v>75963656.430000007</v>
      </c>
      <c r="G55" s="1083">
        <f t="shared" si="21"/>
        <v>26833000.449999999</v>
      </c>
      <c r="H55" s="1083">
        <f t="shared" si="22"/>
        <v>9898392.6500000004</v>
      </c>
      <c r="I55" s="1083">
        <f t="shared" si="23"/>
        <v>101666505.44795801</v>
      </c>
      <c r="J55" s="1083">
        <f t="shared" si="24"/>
        <v>205788696.727658</v>
      </c>
    </row>
    <row r="56" spans="1:10">
      <c r="A56" s="1109">
        <v>34</v>
      </c>
      <c r="B56" s="1078" t="s">
        <v>503</v>
      </c>
      <c r="C56" s="1083">
        <f t="shared" si="17"/>
        <v>3172978617.3800001</v>
      </c>
      <c r="D56" s="1083">
        <f t="shared" si="18"/>
        <v>509640941.46999997</v>
      </c>
      <c r="E56" s="1083">
        <f t="shared" si="19"/>
        <v>46499465.659999996</v>
      </c>
      <c r="F56" s="1083">
        <f t="shared" si="20"/>
        <v>77631025.810000002</v>
      </c>
      <c r="G56" s="1083">
        <f t="shared" si="21"/>
        <v>27093894.140000001</v>
      </c>
      <c r="H56" s="1083">
        <f t="shared" si="22"/>
        <v>9970383.4600000009</v>
      </c>
      <c r="I56" s="1083">
        <f t="shared" si="23"/>
        <v>101171010.39423408</v>
      </c>
      <c r="J56" s="1083">
        <f t="shared" si="24"/>
        <v>209689980.818032</v>
      </c>
    </row>
    <row r="57" spans="1:10">
      <c r="A57" s="1109">
        <v>35</v>
      </c>
      <c r="B57" s="1078" t="s">
        <v>504</v>
      </c>
      <c r="C57" s="1083">
        <f t="shared" si="17"/>
        <v>3186297680.6800013</v>
      </c>
      <c r="D57" s="1083">
        <f t="shared" si="18"/>
        <v>512483945.91000009</v>
      </c>
      <c r="E57" s="1083">
        <f t="shared" si="19"/>
        <v>48231188.850000009</v>
      </c>
      <c r="F57" s="1083">
        <f t="shared" si="20"/>
        <v>66920867.239999995</v>
      </c>
      <c r="G57" s="1083">
        <f t="shared" si="21"/>
        <v>27354788.119999997</v>
      </c>
      <c r="H57" s="1083">
        <f t="shared" si="22"/>
        <v>10042374.279999999</v>
      </c>
      <c r="I57" s="1083">
        <f t="shared" si="23"/>
        <v>103403250.07366207</v>
      </c>
      <c r="J57" s="1083">
        <f t="shared" si="24"/>
        <v>227505217.063784</v>
      </c>
    </row>
    <row r="58" spans="1:10">
      <c r="A58" s="1109">
        <v>36</v>
      </c>
      <c r="B58" s="1078" t="s">
        <v>1031</v>
      </c>
      <c r="C58" s="1083">
        <f t="shared" si="17"/>
        <v>3185448511.8400011</v>
      </c>
      <c r="D58" s="1083">
        <f t="shared" si="18"/>
        <v>512092237.31000006</v>
      </c>
      <c r="E58" s="1083">
        <f t="shared" si="19"/>
        <v>42241347.020000003</v>
      </c>
      <c r="F58" s="1083">
        <f t="shared" si="20"/>
        <v>68618718.890000001</v>
      </c>
      <c r="G58" s="1083">
        <f t="shared" si="21"/>
        <v>27615681.82</v>
      </c>
      <c r="H58" s="1083">
        <f t="shared" si="22"/>
        <v>10114365.08</v>
      </c>
      <c r="I58" s="1083">
        <f t="shared" si="23"/>
        <v>88759627.122056097</v>
      </c>
      <c r="J58" s="1083">
        <f t="shared" si="24"/>
        <v>231441688.10965401</v>
      </c>
    </row>
    <row r="59" spans="1:10">
      <c r="A59" s="1109">
        <v>37</v>
      </c>
      <c r="B59" s="1078" t="s">
        <v>1169</v>
      </c>
      <c r="C59" s="1083">
        <f t="shared" si="17"/>
        <v>3197922617.8000002</v>
      </c>
      <c r="D59" s="1083">
        <f t="shared" si="18"/>
        <v>515892067.68000001</v>
      </c>
      <c r="E59" s="1083">
        <f t="shared" si="19"/>
        <v>43839553.310000002</v>
      </c>
      <c r="F59" s="1083">
        <f t="shared" si="20"/>
        <v>70310854.620000005</v>
      </c>
      <c r="G59" s="1083">
        <f t="shared" si="21"/>
        <v>27876575.789999999</v>
      </c>
      <c r="H59" s="1083">
        <f t="shared" si="22"/>
        <v>10186355.91</v>
      </c>
      <c r="I59" s="1083">
        <f t="shared" si="23"/>
        <v>90920169.086647943</v>
      </c>
      <c r="J59" s="1083">
        <f t="shared" si="24"/>
        <v>235381147.631652</v>
      </c>
    </row>
    <row r="60" spans="1:10">
      <c r="A60" s="1109">
        <v>38</v>
      </c>
      <c r="B60" s="1078" t="s">
        <v>1033</v>
      </c>
      <c r="C60" s="1083">
        <f t="shared" si="17"/>
        <v>3206263539.0100002</v>
      </c>
      <c r="D60" s="1083">
        <f t="shared" si="18"/>
        <v>515342376.31999999</v>
      </c>
      <c r="E60" s="1083">
        <f t="shared" si="19"/>
        <v>45455118.620000005</v>
      </c>
      <c r="F60" s="1083">
        <f t="shared" si="20"/>
        <v>72061605.849999994</v>
      </c>
      <c r="G60" s="1083">
        <f t="shared" si="21"/>
        <v>28137469.490000002</v>
      </c>
      <c r="H60" s="1083">
        <f t="shared" si="22"/>
        <v>10258346.73</v>
      </c>
      <c r="I60" s="1083">
        <f t="shared" si="23"/>
        <v>95910949.398967996</v>
      </c>
      <c r="J60" s="1083">
        <f t="shared" si="24"/>
        <v>239329908.312132</v>
      </c>
    </row>
    <row r="61" spans="1:10">
      <c r="A61" s="1109">
        <v>39</v>
      </c>
      <c r="B61" s="1078" t="s">
        <v>1034</v>
      </c>
      <c r="C61" s="1083">
        <f t="shared" si="17"/>
        <v>3221676252.5400004</v>
      </c>
      <c r="D61" s="1083">
        <f t="shared" si="18"/>
        <v>518347614.59000003</v>
      </c>
      <c r="E61" s="1083">
        <f t="shared" si="19"/>
        <v>47066262.099999994</v>
      </c>
      <c r="F61" s="1083">
        <f t="shared" si="20"/>
        <v>73813277.909999996</v>
      </c>
      <c r="G61" s="1083">
        <f t="shared" si="21"/>
        <v>28398363.16</v>
      </c>
      <c r="H61" s="1083">
        <f t="shared" si="22"/>
        <v>10330337.560000001</v>
      </c>
      <c r="I61" s="1083">
        <f t="shared" si="23"/>
        <v>98078176.367027968</v>
      </c>
      <c r="J61" s="1083">
        <f t="shared" si="24"/>
        <v>243274819.32078603</v>
      </c>
    </row>
    <row r="62" spans="1:10">
      <c r="A62" s="1109">
        <v>40</v>
      </c>
      <c r="B62" s="1078" t="s">
        <v>1035</v>
      </c>
      <c r="C62" s="1083">
        <f t="shared" si="17"/>
        <v>3236593452.4299998</v>
      </c>
      <c r="D62" s="1083">
        <f t="shared" si="18"/>
        <v>520457292.65999997</v>
      </c>
      <c r="E62" s="1083">
        <f t="shared" si="19"/>
        <v>48713234.689999998</v>
      </c>
      <c r="F62" s="1083">
        <f t="shared" si="20"/>
        <v>75621003.00999999</v>
      </c>
      <c r="G62" s="1083">
        <f t="shared" si="21"/>
        <v>28659257.170000002</v>
      </c>
      <c r="H62" s="1083">
        <f t="shared" si="22"/>
        <v>10402328.390000001</v>
      </c>
      <c r="I62" s="1083">
        <f t="shared" si="23"/>
        <v>95436549.284912005</v>
      </c>
      <c r="J62" s="1083">
        <f t="shared" si="24"/>
        <v>247347170.61879</v>
      </c>
    </row>
    <row r="63" spans="1:10">
      <c r="A63" s="1109">
        <v>41</v>
      </c>
      <c r="B63" s="1078" t="s">
        <v>1168</v>
      </c>
      <c r="C63" s="1083">
        <f t="shared" si="17"/>
        <v>3237245983.3800011</v>
      </c>
      <c r="D63" s="1083">
        <f t="shared" si="18"/>
        <v>518282169.79000026</v>
      </c>
      <c r="E63" s="1083">
        <f t="shared" si="19"/>
        <v>50774295.93</v>
      </c>
      <c r="F63" s="1083">
        <f t="shared" si="20"/>
        <v>77425926.139999986</v>
      </c>
      <c r="G63" s="1083">
        <f t="shared" si="21"/>
        <v>28920150.859999999</v>
      </c>
      <c r="H63" s="1083">
        <f t="shared" si="22"/>
        <v>10474319.210000001</v>
      </c>
      <c r="I63" s="1083">
        <f t="shared" si="23"/>
        <v>97675008.937593952</v>
      </c>
      <c r="J63" s="1083">
        <f t="shared" si="24"/>
        <v>251344843.25887203</v>
      </c>
    </row>
    <row r="64" spans="1:10" ht="13.5" thickBot="1">
      <c r="A64" s="1109">
        <v>42</v>
      </c>
      <c r="B64" s="1115" t="s">
        <v>1221</v>
      </c>
      <c r="C64" s="1079">
        <f t="shared" ref="C64:J64" si="25">SUM(C51:C63)/13</f>
        <v>3178448099.8453851</v>
      </c>
      <c r="D64" s="1079">
        <f t="shared" si="25"/>
        <v>509782228.27692306</v>
      </c>
      <c r="E64" s="1079">
        <f t="shared" si="25"/>
        <v>44462963.980000004</v>
      </c>
      <c r="F64" s="1079">
        <f t="shared" si="25"/>
        <v>72770172.539230764</v>
      </c>
      <c r="G64" s="1079">
        <f t="shared" si="25"/>
        <v>27354788.016923077</v>
      </c>
      <c r="H64" s="1079">
        <f t="shared" si="25"/>
        <v>10042374.289230768</v>
      </c>
      <c r="I64" s="1079">
        <f t="shared" si="25"/>
        <v>96819734.06663464</v>
      </c>
      <c r="J64" s="1079">
        <f t="shared" si="25"/>
        <v>221421360.43331099</v>
      </c>
    </row>
    <row r="65" spans="1:9" ht="13.5" thickTop="1">
      <c r="C65" s="1481"/>
      <c r="D65" s="1481"/>
      <c r="E65" s="1481"/>
      <c r="F65" s="1481"/>
      <c r="G65" s="1481"/>
      <c r="H65" s="1481"/>
      <c r="I65" s="1481"/>
    </row>
    <row r="68" spans="1:9">
      <c r="A68" s="1067" t="s">
        <v>385</v>
      </c>
    </row>
    <row r="69" spans="1:9">
      <c r="A69" s="1067" t="s">
        <v>156</v>
      </c>
      <c r="B69" s="1065" t="s">
        <v>1161</v>
      </c>
    </row>
    <row r="70" spans="1:9">
      <c r="A70" s="1067"/>
    </row>
  </sheetData>
  <mergeCells count="6">
    <mergeCell ref="O6:T6"/>
    <mergeCell ref="C26:J26"/>
    <mergeCell ref="C46:J46"/>
    <mergeCell ref="K26:R26"/>
    <mergeCell ref="C6:H6"/>
    <mergeCell ref="I6:N6"/>
  </mergeCells>
  <pageMargins left="0.25" right="0.25" top="0.75" bottom="0.75" header="0.3" footer="0.3"/>
  <pageSetup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28BC7-C5C9-441F-BB2C-D252F014C185}">
  <dimension ref="A1:S204"/>
  <sheetViews>
    <sheetView topLeftCell="E177" zoomScale="68" zoomScaleNormal="68" workbookViewId="0">
      <selection activeCell="J209" sqref="J209"/>
    </sheetView>
  </sheetViews>
  <sheetFormatPr defaultColWidth="9.1796875" defaultRowHeight="12.5"/>
  <cols>
    <col min="1" max="1" width="5.7265625" style="1190" customWidth="1"/>
    <col min="2" max="2" width="9.453125" style="1196" customWidth="1"/>
    <col min="3" max="3" width="5.7265625" style="1190" customWidth="1"/>
    <col min="4" max="4" width="32.1796875" style="1190" customWidth="1"/>
    <col min="5" max="5" width="14.453125" style="1190" customWidth="1"/>
    <col min="6" max="6" width="21.81640625" style="1190" customWidth="1"/>
    <col min="7" max="7" width="15.1796875" style="1190" customWidth="1"/>
    <col min="8" max="8" width="22.7265625" style="1190" customWidth="1"/>
    <col min="9" max="9" width="3.81640625" style="1190" customWidth="1"/>
    <col min="10" max="10" width="23.1796875" style="1190" customWidth="1"/>
    <col min="11" max="11" width="21.81640625" style="1190" customWidth="1"/>
    <col min="12" max="12" width="24.54296875" style="1190" customWidth="1"/>
    <col min="13" max="13" width="3.81640625" style="1190" customWidth="1"/>
    <col min="14" max="14" width="19.7265625" style="1190" customWidth="1"/>
    <col min="15" max="15" width="25.453125" style="1190" customWidth="1"/>
    <col min="16" max="16" width="24.7265625" style="1190" customWidth="1"/>
    <col min="17" max="17" width="25" style="1190" customWidth="1"/>
    <col min="18" max="18" width="26.54296875" style="1190" customWidth="1"/>
    <col min="19" max="19" width="3.81640625" style="1190" customWidth="1"/>
    <col min="20" max="20" width="13.26953125" style="1190" bestFit="1" customWidth="1"/>
    <col min="21" max="21" width="13.7265625" style="1190" bestFit="1" customWidth="1"/>
    <col min="22" max="22" width="9.1796875" style="1190"/>
    <col min="23" max="23" width="13.26953125" style="1190" bestFit="1" customWidth="1"/>
    <col min="24" max="24" width="10.453125" style="1190" bestFit="1" customWidth="1"/>
    <col min="25" max="25" width="11.453125" style="1190" bestFit="1" customWidth="1"/>
    <col min="26" max="16384" width="9.1796875" style="1190"/>
  </cols>
  <sheetData>
    <row r="1" spans="1:19" ht="15.5">
      <c r="A1" s="1521" t="s">
        <v>686</v>
      </c>
      <c r="B1" s="1521"/>
      <c r="C1" s="1521"/>
      <c r="D1" s="1521"/>
      <c r="E1" s="1521"/>
      <c r="F1" s="1521"/>
      <c r="G1" s="1521"/>
      <c r="H1" s="1521"/>
      <c r="I1" s="1521"/>
      <c r="J1" s="1521"/>
      <c r="K1" s="1521"/>
      <c r="L1" s="1521"/>
      <c r="M1" s="1521"/>
      <c r="N1" s="1521"/>
      <c r="O1" s="1521"/>
      <c r="P1" s="1521"/>
      <c r="Q1" s="1521"/>
      <c r="R1" s="1521"/>
      <c r="S1" s="1189"/>
    </row>
    <row r="2" spans="1:19" ht="15.5">
      <c r="A2" s="1521" t="s">
        <v>1004</v>
      </c>
      <c r="B2" s="1521"/>
      <c r="C2" s="1521"/>
      <c r="D2" s="1521"/>
      <c r="E2" s="1521"/>
      <c r="F2" s="1521"/>
      <c r="G2" s="1521"/>
      <c r="H2" s="1521"/>
      <c r="I2" s="1521"/>
      <c r="J2" s="1521"/>
      <c r="K2" s="1521"/>
      <c r="L2" s="1521"/>
      <c r="M2" s="1521"/>
      <c r="N2" s="1521"/>
      <c r="O2" s="1521"/>
      <c r="P2" s="1521"/>
      <c r="Q2" s="1521"/>
      <c r="R2" s="1521"/>
      <c r="S2" s="1189"/>
    </row>
    <row r="3" spans="1:19" ht="15.5">
      <c r="A3" s="1521" t="s">
        <v>1005</v>
      </c>
      <c r="B3" s="1521"/>
      <c r="C3" s="1521"/>
      <c r="D3" s="1521"/>
      <c r="E3" s="1521"/>
      <c r="F3" s="1521"/>
      <c r="G3" s="1521"/>
      <c r="H3" s="1521"/>
      <c r="I3" s="1521"/>
      <c r="J3" s="1521"/>
      <c r="K3" s="1521"/>
      <c r="L3" s="1521"/>
      <c r="M3" s="1521"/>
      <c r="N3" s="1521"/>
      <c r="O3" s="1521"/>
      <c r="P3" s="1521"/>
      <c r="Q3" s="1521"/>
      <c r="R3" s="1521"/>
      <c r="S3" s="1189"/>
    </row>
    <row r="4" spans="1:19" ht="13">
      <c r="A4" s="1189"/>
      <c r="B4" s="1191"/>
      <c r="C4" s="1189"/>
    </row>
    <row r="5" spans="1:19" s="1192" customFormat="1" ht="15.5">
      <c r="B5" s="1193"/>
      <c r="D5" s="1192" t="s">
        <v>1006</v>
      </c>
      <c r="E5" s="1194" t="s">
        <v>1593</v>
      </c>
      <c r="F5" s="1195"/>
      <c r="G5" s="1195"/>
      <c r="H5" s="1195"/>
    </row>
    <row r="6" spans="1:19" ht="13">
      <c r="D6" s="1189"/>
    </row>
    <row r="7" spans="1:19" ht="13">
      <c r="D7" s="1189" t="s">
        <v>1007</v>
      </c>
      <c r="J7" s="1522"/>
      <c r="K7" s="1522"/>
      <c r="L7" s="1522"/>
      <c r="N7" s="1522"/>
      <c r="O7" s="1522"/>
      <c r="P7" s="1522"/>
      <c r="Q7" s="1522"/>
      <c r="R7" s="1522"/>
    </row>
    <row r="8" spans="1:19" ht="13">
      <c r="D8" s="1515" t="s">
        <v>1008</v>
      </c>
      <c r="E8" s="1516"/>
      <c r="F8" s="1516"/>
      <c r="G8" s="1516"/>
      <c r="H8" s="1517"/>
      <c r="I8" s="1197"/>
      <c r="J8" s="1518" t="s">
        <v>1009</v>
      </c>
      <c r="K8" s="1519"/>
      <c r="L8" s="1520"/>
      <c r="M8" s="1197"/>
      <c r="N8" s="1518" t="s">
        <v>1010</v>
      </c>
      <c r="O8" s="1519"/>
      <c r="P8" s="1519"/>
      <c r="Q8" s="1519"/>
      <c r="R8" s="1520"/>
      <c r="S8" s="1197"/>
    </row>
    <row r="9" spans="1:19" ht="13">
      <c r="D9" s="1198" t="s">
        <v>799</v>
      </c>
      <c r="E9" s="1198" t="s">
        <v>800</v>
      </c>
      <c r="F9" s="1198" t="s">
        <v>961</v>
      </c>
      <c r="G9" s="1198" t="s">
        <v>802</v>
      </c>
      <c r="H9" s="1198" t="s">
        <v>962</v>
      </c>
      <c r="I9" s="1197"/>
      <c r="J9" s="1198" t="s">
        <v>804</v>
      </c>
      <c r="K9" s="1198" t="s">
        <v>805</v>
      </c>
      <c r="L9" s="1198" t="s">
        <v>1011</v>
      </c>
      <c r="M9" s="1197"/>
      <c r="N9" s="1198" t="s">
        <v>882</v>
      </c>
      <c r="O9" s="1198" t="s">
        <v>1012</v>
      </c>
      <c r="P9" s="1198" t="s">
        <v>884</v>
      </c>
      <c r="Q9" s="1198" t="s">
        <v>1013</v>
      </c>
      <c r="R9" s="1198" t="s">
        <v>1014</v>
      </c>
      <c r="S9" s="1197"/>
    </row>
    <row r="10" spans="1:19" ht="63" customHeight="1">
      <c r="B10" s="1199" t="s">
        <v>898</v>
      </c>
      <c r="D10" s="1200" t="s">
        <v>501</v>
      </c>
      <c r="E10" s="1200" t="s">
        <v>1015</v>
      </c>
      <c r="F10" s="1200" t="s">
        <v>1016</v>
      </c>
      <c r="G10" s="1200" t="s">
        <v>1017</v>
      </c>
      <c r="H10" s="1200" t="s">
        <v>1018</v>
      </c>
      <c r="I10" s="1336"/>
      <c r="J10" s="1200" t="s">
        <v>1019</v>
      </c>
      <c r="K10" s="1200" t="s">
        <v>1020</v>
      </c>
      <c r="L10" s="1200" t="s">
        <v>1021</v>
      </c>
      <c r="M10" s="1336"/>
      <c r="N10" s="1200" t="s">
        <v>1022</v>
      </c>
      <c r="O10" s="1200" t="s">
        <v>1023</v>
      </c>
      <c r="P10" s="1200" t="s">
        <v>1024</v>
      </c>
      <c r="Q10" s="1200" t="s">
        <v>1025</v>
      </c>
      <c r="R10" s="1200" t="s">
        <v>1026</v>
      </c>
      <c r="S10" s="1336"/>
    </row>
    <row r="11" spans="1:19">
      <c r="E11" s="1336"/>
      <c r="F11" s="1336"/>
      <c r="G11" s="1336"/>
      <c r="H11" s="1336"/>
      <c r="I11" s="1336"/>
      <c r="J11" s="1336"/>
      <c r="K11" s="1336"/>
      <c r="L11" s="1336"/>
      <c r="M11" s="1336"/>
      <c r="N11" s="1336"/>
      <c r="O11" s="1336"/>
      <c r="P11" s="1336"/>
      <c r="Q11" s="1336"/>
      <c r="R11" s="1336"/>
      <c r="S11" s="1336"/>
    </row>
    <row r="12" spans="1:19">
      <c r="B12" s="1196">
        <v>1</v>
      </c>
      <c r="D12" s="1190" t="s">
        <v>1027</v>
      </c>
      <c r="E12" s="1336"/>
      <c r="F12" s="1336"/>
      <c r="G12" s="1336"/>
      <c r="H12" s="1336"/>
      <c r="I12" s="1336"/>
      <c r="J12" s="948" t="s">
        <v>1566</v>
      </c>
      <c r="K12" s="1336"/>
      <c r="L12" s="939">
        <v>0</v>
      </c>
      <c r="M12" s="1336"/>
      <c r="N12" s="948" t="s">
        <v>1566</v>
      </c>
      <c r="O12" s="1336"/>
      <c r="P12" s="1336"/>
      <c r="Q12" s="1336"/>
      <c r="R12" s="939">
        <v>0</v>
      </c>
      <c r="S12" s="1336"/>
    </row>
    <row r="13" spans="1:19">
      <c r="E13" s="1336"/>
      <c r="F13" s="1336"/>
      <c r="G13" s="1336"/>
      <c r="H13" s="1336"/>
      <c r="I13" s="1336"/>
      <c r="J13" s="1336"/>
      <c r="K13" s="1336"/>
      <c r="L13" s="1336"/>
      <c r="M13" s="1336"/>
      <c r="N13" s="1336"/>
      <c r="O13" s="1336"/>
      <c r="P13" s="1336"/>
      <c r="Q13" s="1336"/>
      <c r="R13" s="1336"/>
      <c r="S13" s="1336"/>
    </row>
    <row r="14" spans="1:19">
      <c r="B14" s="1196">
        <f>B12+1</f>
        <v>2</v>
      </c>
      <c r="D14" s="1201" t="s">
        <v>1028</v>
      </c>
      <c r="E14" s="939">
        <v>31</v>
      </c>
      <c r="F14" s="940">
        <v>0</v>
      </c>
      <c r="G14" s="940">
        <v>214</v>
      </c>
      <c r="H14" s="941">
        <f t="shared" ref="H14:H25" si="0">IF(F14=0,0.5,F14/G14)</f>
        <v>0.5</v>
      </c>
      <c r="I14" s="942"/>
      <c r="J14" s="939">
        <v>0</v>
      </c>
      <c r="K14" s="943">
        <f t="shared" ref="K14:K25" si="1">+J14*H14</f>
        <v>0</v>
      </c>
      <c r="L14" s="943">
        <f>+K14+L12</f>
        <v>0</v>
      </c>
      <c r="M14" s="942"/>
      <c r="N14" s="939">
        <v>0</v>
      </c>
      <c r="O14" s="943">
        <f>IF($D$177="True-Up Adjustment",N14-J14,0)</f>
        <v>0</v>
      </c>
      <c r="P14" s="943">
        <f>IF($D$177="True-Up Adjustment",IF(AND(J14&gt;=0,N14&gt;=0),IF(O14&gt;=0,K14+O14,N14/J14*K14),IF(AND(J14&lt;0,N14&lt;0),IF(O14&lt;0,K14+O14,N14/J14*K14),0)),0)</f>
        <v>0</v>
      </c>
      <c r="Q14" s="943">
        <f t="shared" ref="Q14:Q25" si="2">IF(AND(J14&gt;=0,N14&lt;0),N14,IF(AND(J14&lt;0,N14&gt;=0),N14,0))</f>
        <v>0</v>
      </c>
      <c r="R14" s="943">
        <f>+Q14+R12</f>
        <v>0</v>
      </c>
      <c r="S14" s="942"/>
    </row>
    <row r="15" spans="1:19">
      <c r="B15" s="1196">
        <f t="shared" ref="B15:B26" si="3">+B14+1</f>
        <v>3</v>
      </c>
      <c r="D15" s="1201" t="s">
        <v>1029</v>
      </c>
      <c r="E15" s="939">
        <v>28</v>
      </c>
      <c r="F15" s="940">
        <v>0</v>
      </c>
      <c r="G15" s="940">
        <f t="shared" ref="G15:G25" si="4">G14</f>
        <v>214</v>
      </c>
      <c r="H15" s="941">
        <f t="shared" si="0"/>
        <v>0.5</v>
      </c>
      <c r="I15" s="942"/>
      <c r="J15" s="939">
        <v>0</v>
      </c>
      <c r="K15" s="943">
        <f>+J15*H15</f>
        <v>0</v>
      </c>
      <c r="L15" s="943">
        <f t="shared" ref="L15:L25" si="5">+K15+L14</f>
        <v>0</v>
      </c>
      <c r="M15" s="942"/>
      <c r="N15" s="939">
        <v>0</v>
      </c>
      <c r="O15" s="943">
        <f t="shared" ref="O15:O25" si="6">IF($D$177="True-Up Adjustment",N15-J15,0)</f>
        <v>0</v>
      </c>
      <c r="P15" s="943">
        <f t="shared" ref="P15:P25" si="7">IF($D$177="True-Up Adjustment",IF(AND(J15&gt;=0,N15&gt;=0),IF(O15&gt;=0,K15+O15,N15/J15*K15),IF(AND(J15&lt;0,N15&lt;0),IF(O15&lt;0,K15+O15,N15/J15*K15),0)),0)</f>
        <v>0</v>
      </c>
      <c r="Q15" s="943">
        <f t="shared" si="2"/>
        <v>0</v>
      </c>
      <c r="R15" s="943">
        <f t="shared" ref="R15:R25" si="8">R14+P15+Q15</f>
        <v>0</v>
      </c>
      <c r="S15" s="942"/>
    </row>
    <row r="16" spans="1:19">
      <c r="B16" s="1196">
        <f t="shared" si="3"/>
        <v>4</v>
      </c>
      <c r="D16" s="1201" t="s">
        <v>1030</v>
      </c>
      <c r="E16" s="939">
        <v>31</v>
      </c>
      <c r="F16" s="940">
        <v>0</v>
      </c>
      <c r="G16" s="940">
        <f t="shared" si="4"/>
        <v>214</v>
      </c>
      <c r="H16" s="941">
        <f t="shared" si="0"/>
        <v>0.5</v>
      </c>
      <c r="I16" s="942"/>
      <c r="J16" s="939">
        <v>0</v>
      </c>
      <c r="K16" s="943">
        <f t="shared" si="1"/>
        <v>0</v>
      </c>
      <c r="L16" s="943">
        <f t="shared" si="5"/>
        <v>0</v>
      </c>
      <c r="M16" s="942"/>
      <c r="N16" s="939">
        <v>0</v>
      </c>
      <c r="O16" s="943">
        <f t="shared" si="6"/>
        <v>0</v>
      </c>
      <c r="P16" s="943">
        <f t="shared" si="7"/>
        <v>0</v>
      </c>
      <c r="Q16" s="943">
        <f t="shared" si="2"/>
        <v>0</v>
      </c>
      <c r="R16" s="943">
        <f t="shared" si="8"/>
        <v>0</v>
      </c>
      <c r="S16" s="942"/>
    </row>
    <row r="17" spans="2:19">
      <c r="B17" s="1196">
        <f t="shared" si="3"/>
        <v>5</v>
      </c>
      <c r="D17" s="1201" t="s">
        <v>502</v>
      </c>
      <c r="E17" s="939">
        <v>30</v>
      </c>
      <c r="F17" s="940">
        <v>0</v>
      </c>
      <c r="G17" s="940">
        <f t="shared" si="4"/>
        <v>214</v>
      </c>
      <c r="H17" s="941">
        <f t="shared" si="0"/>
        <v>0.5</v>
      </c>
      <c r="I17" s="942"/>
      <c r="J17" s="939">
        <v>0</v>
      </c>
      <c r="K17" s="943">
        <f t="shared" si="1"/>
        <v>0</v>
      </c>
      <c r="L17" s="943">
        <f t="shared" si="5"/>
        <v>0</v>
      </c>
      <c r="M17" s="942"/>
      <c r="N17" s="939">
        <v>0</v>
      </c>
      <c r="O17" s="943">
        <f t="shared" si="6"/>
        <v>0</v>
      </c>
      <c r="P17" s="943">
        <f t="shared" si="7"/>
        <v>0</v>
      </c>
      <c r="Q17" s="943">
        <f t="shared" si="2"/>
        <v>0</v>
      </c>
      <c r="R17" s="943">
        <f t="shared" si="8"/>
        <v>0</v>
      </c>
      <c r="S17" s="942"/>
    </row>
    <row r="18" spans="2:19">
      <c r="B18" s="1196">
        <f t="shared" si="3"/>
        <v>6</v>
      </c>
      <c r="D18" s="1201" t="s">
        <v>503</v>
      </c>
      <c r="E18" s="939">
        <v>31</v>
      </c>
      <c r="F18" s="940">
        <v>0</v>
      </c>
      <c r="G18" s="940">
        <f t="shared" si="4"/>
        <v>214</v>
      </c>
      <c r="H18" s="941">
        <f t="shared" si="0"/>
        <v>0.5</v>
      </c>
      <c r="I18" s="942"/>
      <c r="J18" s="939">
        <v>0</v>
      </c>
      <c r="K18" s="943">
        <f t="shared" si="1"/>
        <v>0</v>
      </c>
      <c r="L18" s="943">
        <f t="shared" si="5"/>
        <v>0</v>
      </c>
      <c r="M18" s="942"/>
      <c r="N18" s="939">
        <v>0</v>
      </c>
      <c r="O18" s="943">
        <f t="shared" si="6"/>
        <v>0</v>
      </c>
      <c r="P18" s="943">
        <f t="shared" si="7"/>
        <v>0</v>
      </c>
      <c r="Q18" s="943">
        <f t="shared" si="2"/>
        <v>0</v>
      </c>
      <c r="R18" s="943">
        <f t="shared" si="8"/>
        <v>0</v>
      </c>
      <c r="S18" s="942"/>
    </row>
    <row r="19" spans="2:19">
      <c r="B19" s="1196">
        <f t="shared" si="3"/>
        <v>7</v>
      </c>
      <c r="D19" s="1201" t="s">
        <v>504</v>
      </c>
      <c r="E19" s="939">
        <v>30</v>
      </c>
      <c r="F19" s="940">
        <f>E20+F20</f>
        <v>185</v>
      </c>
      <c r="G19" s="940">
        <f t="shared" si="4"/>
        <v>214</v>
      </c>
      <c r="H19" s="941">
        <f t="shared" si="0"/>
        <v>0.86448598130841126</v>
      </c>
      <c r="I19" s="942"/>
      <c r="J19" s="939">
        <v>0</v>
      </c>
      <c r="K19" s="943">
        <f t="shared" si="1"/>
        <v>0</v>
      </c>
      <c r="L19" s="943">
        <f t="shared" si="5"/>
        <v>0</v>
      </c>
      <c r="M19" s="942"/>
      <c r="N19" s="939">
        <v>0</v>
      </c>
      <c r="O19" s="943">
        <f t="shared" si="6"/>
        <v>0</v>
      </c>
      <c r="P19" s="943">
        <f t="shared" si="7"/>
        <v>0</v>
      </c>
      <c r="Q19" s="943">
        <f t="shared" si="2"/>
        <v>0</v>
      </c>
      <c r="R19" s="943">
        <f t="shared" si="8"/>
        <v>0</v>
      </c>
      <c r="S19" s="942"/>
    </row>
    <row r="20" spans="2:19">
      <c r="B20" s="1196">
        <f t="shared" si="3"/>
        <v>8</v>
      </c>
      <c r="D20" s="1201" t="s">
        <v>1031</v>
      </c>
      <c r="E20" s="939">
        <v>31</v>
      </c>
      <c r="F20" s="940">
        <f t="shared" ref="F20:F24" si="9">E21+F21</f>
        <v>154</v>
      </c>
      <c r="G20" s="940">
        <f t="shared" si="4"/>
        <v>214</v>
      </c>
      <c r="H20" s="941">
        <f t="shared" si="0"/>
        <v>0.71962616822429903</v>
      </c>
      <c r="I20" s="942"/>
      <c r="J20" s="939">
        <v>0</v>
      </c>
      <c r="K20" s="943">
        <f t="shared" si="1"/>
        <v>0</v>
      </c>
      <c r="L20" s="943">
        <f t="shared" si="5"/>
        <v>0</v>
      </c>
      <c r="M20" s="942"/>
      <c r="N20" s="939">
        <v>0</v>
      </c>
      <c r="O20" s="943">
        <f t="shared" si="6"/>
        <v>0</v>
      </c>
      <c r="P20" s="943">
        <f t="shared" si="7"/>
        <v>0</v>
      </c>
      <c r="Q20" s="943">
        <f t="shared" si="2"/>
        <v>0</v>
      </c>
      <c r="R20" s="943">
        <f t="shared" si="8"/>
        <v>0</v>
      </c>
      <c r="S20" s="942"/>
    </row>
    <row r="21" spans="2:19">
      <c r="B21" s="1196">
        <f t="shared" si="3"/>
        <v>9</v>
      </c>
      <c r="D21" s="1201" t="s">
        <v>1032</v>
      </c>
      <c r="E21" s="939">
        <v>31</v>
      </c>
      <c r="F21" s="940">
        <f t="shared" si="9"/>
        <v>123</v>
      </c>
      <c r="G21" s="940">
        <f t="shared" si="4"/>
        <v>214</v>
      </c>
      <c r="H21" s="941">
        <f t="shared" si="0"/>
        <v>0.57476635514018692</v>
      </c>
      <c r="I21" s="942"/>
      <c r="J21" s="939">
        <v>0</v>
      </c>
      <c r="K21" s="943">
        <f t="shared" si="1"/>
        <v>0</v>
      </c>
      <c r="L21" s="943">
        <f t="shared" si="5"/>
        <v>0</v>
      </c>
      <c r="M21" s="942"/>
      <c r="N21" s="939">
        <v>0</v>
      </c>
      <c r="O21" s="943">
        <f t="shared" si="6"/>
        <v>0</v>
      </c>
      <c r="P21" s="943">
        <f t="shared" si="7"/>
        <v>0</v>
      </c>
      <c r="Q21" s="943">
        <f t="shared" si="2"/>
        <v>0</v>
      </c>
      <c r="R21" s="943">
        <f t="shared" si="8"/>
        <v>0</v>
      </c>
      <c r="S21" s="942"/>
    </row>
    <row r="22" spans="2:19">
      <c r="B22" s="1196">
        <f t="shared" si="3"/>
        <v>10</v>
      </c>
      <c r="D22" s="1201" t="s">
        <v>1033</v>
      </c>
      <c r="E22" s="939">
        <v>30</v>
      </c>
      <c r="F22" s="940">
        <f t="shared" si="9"/>
        <v>93</v>
      </c>
      <c r="G22" s="940">
        <f t="shared" si="4"/>
        <v>214</v>
      </c>
      <c r="H22" s="941">
        <f t="shared" si="0"/>
        <v>0.43457943925233644</v>
      </c>
      <c r="I22" s="942"/>
      <c r="J22" s="939">
        <v>0</v>
      </c>
      <c r="K22" s="943">
        <f t="shared" si="1"/>
        <v>0</v>
      </c>
      <c r="L22" s="943">
        <f t="shared" si="5"/>
        <v>0</v>
      </c>
      <c r="M22" s="942"/>
      <c r="N22" s="939">
        <v>0</v>
      </c>
      <c r="O22" s="943">
        <f t="shared" si="6"/>
        <v>0</v>
      </c>
      <c r="P22" s="943">
        <f t="shared" si="7"/>
        <v>0</v>
      </c>
      <c r="Q22" s="943">
        <f t="shared" si="2"/>
        <v>0</v>
      </c>
      <c r="R22" s="943">
        <f t="shared" si="8"/>
        <v>0</v>
      </c>
      <c r="S22" s="942"/>
    </row>
    <row r="23" spans="2:19">
      <c r="B23" s="1196">
        <f t="shared" si="3"/>
        <v>11</v>
      </c>
      <c r="D23" s="1201" t="s">
        <v>1034</v>
      </c>
      <c r="E23" s="939">
        <v>31</v>
      </c>
      <c r="F23" s="940">
        <f t="shared" si="9"/>
        <v>62</v>
      </c>
      <c r="G23" s="940">
        <f t="shared" si="4"/>
        <v>214</v>
      </c>
      <c r="H23" s="941">
        <f t="shared" si="0"/>
        <v>0.28971962616822428</v>
      </c>
      <c r="I23" s="942"/>
      <c r="J23" s="939">
        <v>0</v>
      </c>
      <c r="K23" s="943">
        <f t="shared" si="1"/>
        <v>0</v>
      </c>
      <c r="L23" s="943">
        <f t="shared" si="5"/>
        <v>0</v>
      </c>
      <c r="M23" s="942"/>
      <c r="N23" s="939">
        <v>0</v>
      </c>
      <c r="O23" s="943">
        <f t="shared" si="6"/>
        <v>0</v>
      </c>
      <c r="P23" s="943">
        <f t="shared" si="7"/>
        <v>0</v>
      </c>
      <c r="Q23" s="943">
        <f t="shared" si="2"/>
        <v>0</v>
      </c>
      <c r="R23" s="943">
        <f t="shared" si="8"/>
        <v>0</v>
      </c>
      <c r="S23" s="942"/>
    </row>
    <row r="24" spans="2:19">
      <c r="B24" s="1196">
        <f t="shared" si="3"/>
        <v>12</v>
      </c>
      <c r="D24" s="1201" t="s">
        <v>1035</v>
      </c>
      <c r="E24" s="939">
        <v>30</v>
      </c>
      <c r="F24" s="940">
        <f t="shared" si="9"/>
        <v>32</v>
      </c>
      <c r="G24" s="940">
        <f t="shared" si="4"/>
        <v>214</v>
      </c>
      <c r="H24" s="941">
        <f t="shared" si="0"/>
        <v>0.14953271028037382</v>
      </c>
      <c r="I24" s="942"/>
      <c r="J24" s="939">
        <v>0</v>
      </c>
      <c r="K24" s="943">
        <f t="shared" si="1"/>
        <v>0</v>
      </c>
      <c r="L24" s="943">
        <f t="shared" si="5"/>
        <v>0</v>
      </c>
      <c r="M24" s="942"/>
      <c r="N24" s="939">
        <v>0</v>
      </c>
      <c r="O24" s="943">
        <f t="shared" si="6"/>
        <v>0</v>
      </c>
      <c r="P24" s="943">
        <f t="shared" si="7"/>
        <v>0</v>
      </c>
      <c r="Q24" s="943">
        <f t="shared" si="2"/>
        <v>0</v>
      </c>
      <c r="R24" s="943">
        <f t="shared" si="8"/>
        <v>0</v>
      </c>
      <c r="S24" s="942"/>
    </row>
    <row r="25" spans="2:19">
      <c r="B25" s="1196">
        <f t="shared" si="3"/>
        <v>13</v>
      </c>
      <c r="D25" s="1202" t="s">
        <v>1036</v>
      </c>
      <c r="E25" s="939">
        <v>31</v>
      </c>
      <c r="F25" s="944">
        <v>1</v>
      </c>
      <c r="G25" s="940">
        <f t="shared" si="4"/>
        <v>214</v>
      </c>
      <c r="H25" s="941">
        <f t="shared" si="0"/>
        <v>4.6728971962616819E-3</v>
      </c>
      <c r="I25" s="942"/>
      <c r="J25" s="939">
        <v>0</v>
      </c>
      <c r="K25" s="943">
        <f t="shared" si="1"/>
        <v>0</v>
      </c>
      <c r="L25" s="943">
        <f t="shared" si="5"/>
        <v>0</v>
      </c>
      <c r="M25" s="942"/>
      <c r="N25" s="939">
        <v>0</v>
      </c>
      <c r="O25" s="943">
        <f t="shared" si="6"/>
        <v>0</v>
      </c>
      <c r="P25" s="943">
        <f t="shared" si="7"/>
        <v>0</v>
      </c>
      <c r="Q25" s="943">
        <f t="shared" si="2"/>
        <v>0</v>
      </c>
      <c r="R25" s="943">
        <f t="shared" si="8"/>
        <v>0</v>
      </c>
      <c r="S25" s="942"/>
    </row>
    <row r="26" spans="2:19">
      <c r="B26" s="1196">
        <f t="shared" si="3"/>
        <v>14</v>
      </c>
      <c r="D26" s="1203" t="str">
        <f>"Total (Sum of Lines "&amp;B14&amp;" - "&amp;B25&amp;")"</f>
        <v>Total (Sum of Lines 2 - 13)</v>
      </c>
      <c r="E26" s="945">
        <f>SUM(E14:E25)</f>
        <v>365</v>
      </c>
      <c r="F26" s="1204"/>
      <c r="G26" s="1204"/>
      <c r="H26" s="1205"/>
      <c r="I26" s="946"/>
      <c r="J26" s="945">
        <f>SUM(J14:J25)</f>
        <v>0</v>
      </c>
      <c r="K26" s="945">
        <f>SUM(K14:K25)</f>
        <v>0</v>
      </c>
      <c r="L26" s="947"/>
      <c r="M26" s="946"/>
      <c r="N26" s="945">
        <f>SUM(N14:N25)</f>
        <v>0</v>
      </c>
      <c r="O26" s="945">
        <f>SUM(O14:O25)</f>
        <v>0</v>
      </c>
      <c r="P26" s="945">
        <f>SUM(P14:P25)</f>
        <v>0</v>
      </c>
      <c r="Q26" s="945">
        <f>SUM(Q14:Q25)</f>
        <v>0</v>
      </c>
      <c r="R26" s="947"/>
      <c r="S26" s="946"/>
    </row>
    <row r="27" spans="2:19">
      <c r="D27" s="1206"/>
      <c r="E27" s="1206"/>
      <c r="F27" s="1206"/>
      <c r="G27" s="1206"/>
      <c r="H27" s="1207"/>
      <c r="I27" s="1207"/>
      <c r="K27" s="1208"/>
      <c r="L27" s="1207"/>
      <c r="M27" s="1207"/>
      <c r="O27" s="1208"/>
      <c r="P27" s="1208"/>
      <c r="Q27" s="1208"/>
      <c r="R27" s="1207"/>
      <c r="S27" s="1207"/>
    </row>
    <row r="28" spans="2:19">
      <c r="B28" s="1196">
        <f>B26+1</f>
        <v>15</v>
      </c>
      <c r="D28" s="1190" t="s">
        <v>1037</v>
      </c>
      <c r="I28" s="1207"/>
      <c r="J28" s="948" t="s">
        <v>1566</v>
      </c>
      <c r="L28" s="939">
        <v>1478019.9311314803</v>
      </c>
      <c r="M28" s="1209"/>
      <c r="N28" s="948" t="s">
        <v>1566</v>
      </c>
      <c r="R28" s="939">
        <f>'1C - ADIT BOY'!E11</f>
        <v>117795.76252615452</v>
      </c>
    </row>
    <row r="29" spans="2:19">
      <c r="B29" s="1196">
        <f>B28+1</f>
        <v>16</v>
      </c>
      <c r="D29" s="1190" t="s">
        <v>1038</v>
      </c>
      <c r="I29" s="1207"/>
      <c r="J29" s="1210" t="s">
        <v>1039</v>
      </c>
      <c r="L29" s="949">
        <v>0</v>
      </c>
      <c r="M29" s="1211"/>
      <c r="N29" s="1210"/>
      <c r="R29" s="949">
        <v>0</v>
      </c>
    </row>
    <row r="30" spans="2:19">
      <c r="B30" s="1196">
        <f>B29+1</f>
        <v>17</v>
      </c>
      <c r="D30" s="1190" t="s">
        <v>1040</v>
      </c>
      <c r="I30" s="1207"/>
      <c r="J30" s="1203" t="str">
        <f>"(Col. "&amp;L9&amp;", Line "&amp;B28&amp;" + Line "&amp;B29&amp;")"</f>
        <v>(Col. (H), Line 15 + Line 16)</v>
      </c>
      <c r="L30" s="950">
        <f>L28+L29</f>
        <v>1478019.9311314803</v>
      </c>
      <c r="M30" s="1207"/>
      <c r="N30" s="1203" t="str">
        <f>"(Col. "&amp;R9&amp;", Line "&amp;B28&amp;" + Line "&amp;B29&amp;")"</f>
        <v>(Col. (M), Line 15 + Line 16)</v>
      </c>
      <c r="R30" s="950">
        <f>R28+R29</f>
        <v>117795.76252615452</v>
      </c>
    </row>
    <row r="31" spans="2:19">
      <c r="I31" s="1207"/>
      <c r="L31" s="950"/>
      <c r="M31" s="1207"/>
      <c r="R31" s="950"/>
    </row>
    <row r="32" spans="2:19">
      <c r="B32" s="1196">
        <f>B30+1</f>
        <v>18</v>
      </c>
      <c r="D32" s="1190" t="s">
        <v>1041</v>
      </c>
      <c r="I32" s="1207"/>
      <c r="J32" s="948" t="s">
        <v>1595</v>
      </c>
      <c r="L32" s="939">
        <v>7781677.4784273645</v>
      </c>
      <c r="M32" s="1209"/>
      <c r="N32" s="948" t="s">
        <v>1594</v>
      </c>
      <c r="R32" s="939">
        <f>'1B - ADIT EOY'!$E$11</f>
        <v>3313275.1189235076</v>
      </c>
    </row>
    <row r="33" spans="2:19">
      <c r="B33" s="1196">
        <f>B32+1</f>
        <v>19</v>
      </c>
      <c r="D33" s="1190" t="s">
        <v>1042</v>
      </c>
      <c r="I33" s="1207"/>
      <c r="J33" s="1210" t="s">
        <v>1039</v>
      </c>
      <c r="L33" s="949">
        <v>0</v>
      </c>
      <c r="M33" s="1207"/>
      <c r="N33" s="1210"/>
      <c r="R33" s="949">
        <v>0</v>
      </c>
    </row>
    <row r="34" spans="2:19">
      <c r="B34" s="1196">
        <f>B33+1</f>
        <v>20</v>
      </c>
      <c r="D34" s="1190" t="s">
        <v>1043</v>
      </c>
      <c r="G34" s="1203"/>
      <c r="I34" s="1207"/>
      <c r="J34" s="1203" t="str">
        <f>"(Col. "&amp;L9&amp;", Line "&amp;B32&amp;" + Line "&amp;B33&amp;")"</f>
        <v>(Col. (H), Line 18 + Line 19)</v>
      </c>
      <c r="L34" s="950">
        <f>L32+L33</f>
        <v>7781677.4784273645</v>
      </c>
      <c r="M34" s="1207"/>
      <c r="N34" s="1203" t="str">
        <f>"(Col. "&amp;R9&amp;", Line "&amp;B32&amp;" + Line "&amp;B33&amp;")"</f>
        <v>(Col. (M), Line 18 + Line 19)</v>
      </c>
      <c r="R34" s="950">
        <f>R32+R33</f>
        <v>3313275.1189235076</v>
      </c>
    </row>
    <row r="35" spans="2:19">
      <c r="I35" s="1207"/>
      <c r="L35" s="950"/>
      <c r="M35" s="1207"/>
      <c r="R35" s="950"/>
    </row>
    <row r="36" spans="2:19">
      <c r="B36" s="1196">
        <f>B34+1</f>
        <v>21</v>
      </c>
      <c r="D36" s="1190" t="s">
        <v>1044</v>
      </c>
      <c r="I36" s="1207"/>
      <c r="J36" s="1203" t="str">
        <f>"([Col. "&amp;L9&amp;", Line "&amp;B30&amp;" + Line "&amp;B34&amp;"] /2)"</f>
        <v>([Col. (H), Line 17 + Line 20] /2)</v>
      </c>
      <c r="L36" s="943">
        <f>(L30+L34)/2</f>
        <v>4629848.7047794219</v>
      </c>
      <c r="M36" s="1207"/>
      <c r="N36" s="1203" t="str">
        <f>"([Col. "&amp;R9&amp;", Line "&amp;B30&amp;" + Line "&amp;B34&amp;"] /2)"</f>
        <v>([Col. (M), Line 17 + Line 20] /2)</v>
      </c>
      <c r="R36" s="943">
        <f>(R30+R34)/2</f>
        <v>1715535.4407248311</v>
      </c>
    </row>
    <row r="37" spans="2:19">
      <c r="B37" s="1196">
        <f>B36+1</f>
        <v>22</v>
      </c>
      <c r="D37" s="1206" t="s">
        <v>1045</v>
      </c>
      <c r="E37" s="1206"/>
      <c r="F37" s="1206"/>
      <c r="G37" s="1206"/>
      <c r="H37" s="1207"/>
      <c r="I37" s="1207"/>
      <c r="J37" s="1203" t="str">
        <f>"(Col. "&amp;L9&amp;", Line "&amp;B25&amp;" )"</f>
        <v>(Col. (H), Line 13 )</v>
      </c>
      <c r="K37" s="1208"/>
      <c r="L37" s="943">
        <f>L25</f>
        <v>0</v>
      </c>
      <c r="M37" s="1207"/>
      <c r="N37" s="1203" t="str">
        <f>"(Col. "&amp;R9&amp;", Line "&amp;B25&amp;" )"</f>
        <v>(Col. (M), Line 13 )</v>
      </c>
      <c r="R37" s="943">
        <f>R25</f>
        <v>0</v>
      </c>
    </row>
    <row r="38" spans="2:19" ht="13.5" thickBot="1">
      <c r="B38" s="1196">
        <f>B37+1</f>
        <v>23</v>
      </c>
      <c r="D38" s="1212" t="s">
        <v>1286</v>
      </c>
      <c r="E38" s="1206"/>
      <c r="F38" s="1206"/>
      <c r="G38" s="1206"/>
      <c r="H38" s="1207"/>
      <c r="I38" s="1207"/>
      <c r="J38" s="1203" t="str">
        <f>"(Col. "&amp;L9&amp;", Line "&amp;B36&amp;" + Line "&amp;B37&amp;")"</f>
        <v>(Col. (H), Line 21 + Line 22)</v>
      </c>
      <c r="K38" s="1208"/>
      <c r="L38" s="951">
        <f>L36+L37</f>
        <v>4629848.7047794219</v>
      </c>
      <c r="M38" s="1207"/>
      <c r="N38" s="1203" t="str">
        <f>"(Col. "&amp;R9&amp;", Line "&amp;B36&amp;" + Line "&amp;B37&amp;")"</f>
        <v>(Col. (M), Line 21 + Line 22)</v>
      </c>
      <c r="R38" s="951">
        <f>R36+R37</f>
        <v>1715535.4407248311</v>
      </c>
    </row>
    <row r="39" spans="2:19">
      <c r="I39" s="1207"/>
      <c r="L39" s="943"/>
      <c r="M39" s="1207"/>
      <c r="R39" s="943"/>
      <c r="S39" s="1207"/>
    </row>
    <row r="40" spans="2:19" ht="13">
      <c r="D40" s="1189" t="s">
        <v>1046</v>
      </c>
      <c r="J40" s="1213"/>
      <c r="K40" s="1214"/>
      <c r="L40" s="1214"/>
      <c r="N40" s="1214"/>
      <c r="O40" s="1214"/>
      <c r="P40" s="1214"/>
      <c r="Q40" s="1214"/>
      <c r="R40" s="1471"/>
    </row>
    <row r="41" spans="2:19" ht="13">
      <c r="D41" s="1515" t="s">
        <v>1008</v>
      </c>
      <c r="E41" s="1516"/>
      <c r="F41" s="1516"/>
      <c r="G41" s="1516"/>
      <c r="H41" s="1517"/>
      <c r="I41" s="1197"/>
      <c r="J41" s="1518" t="s">
        <v>1009</v>
      </c>
      <c r="K41" s="1519"/>
      <c r="L41" s="1520"/>
      <c r="M41" s="1197"/>
      <c r="N41" s="1518" t="s">
        <v>1010</v>
      </c>
      <c r="O41" s="1519"/>
      <c r="P41" s="1519"/>
      <c r="Q41" s="1519"/>
      <c r="R41" s="1520"/>
      <c r="S41" s="1197"/>
    </row>
    <row r="42" spans="2:19" ht="13">
      <c r="D42" s="1198" t="s">
        <v>799</v>
      </c>
      <c r="E42" s="1198" t="s">
        <v>800</v>
      </c>
      <c r="F42" s="1198" t="s">
        <v>961</v>
      </c>
      <c r="G42" s="1198" t="s">
        <v>802</v>
      </c>
      <c r="H42" s="1198" t="s">
        <v>962</v>
      </c>
      <c r="I42" s="1197"/>
      <c r="J42" s="1198" t="s">
        <v>804</v>
      </c>
      <c r="K42" s="1198" t="s">
        <v>805</v>
      </c>
      <c r="L42" s="1198" t="s">
        <v>1011</v>
      </c>
      <c r="M42" s="1197"/>
      <c r="N42" s="1198" t="s">
        <v>882</v>
      </c>
      <c r="O42" s="1198" t="s">
        <v>1012</v>
      </c>
      <c r="P42" s="1198" t="s">
        <v>884</v>
      </c>
      <c r="Q42" s="1198" t="s">
        <v>1013</v>
      </c>
      <c r="R42" s="1198" t="s">
        <v>1014</v>
      </c>
      <c r="S42" s="1197"/>
    </row>
    <row r="43" spans="2:19" ht="50">
      <c r="B43" s="1199" t="s">
        <v>898</v>
      </c>
      <c r="D43" s="1200" t="s">
        <v>501</v>
      </c>
      <c r="E43" s="1200" t="s">
        <v>1015</v>
      </c>
      <c r="F43" s="1200" t="s">
        <v>1047</v>
      </c>
      <c r="G43" s="1200" t="s">
        <v>1048</v>
      </c>
      <c r="H43" s="1200" t="s">
        <v>1018</v>
      </c>
      <c r="I43" s="1336"/>
      <c r="J43" s="1200" t="s">
        <v>1019</v>
      </c>
      <c r="K43" s="1200" t="s">
        <v>1020</v>
      </c>
      <c r="L43" s="1200" t="s">
        <v>1021</v>
      </c>
      <c r="M43" s="1336"/>
      <c r="N43" s="1200" t="s">
        <v>1022</v>
      </c>
      <c r="O43" s="1200" t="s">
        <v>1023</v>
      </c>
      <c r="P43" s="1200" t="s">
        <v>1024</v>
      </c>
      <c r="Q43" s="1200" t="s">
        <v>1025</v>
      </c>
      <c r="R43" s="1200" t="s">
        <v>1026</v>
      </c>
      <c r="S43" s="1336"/>
    </row>
    <row r="44" spans="2:19">
      <c r="E44" s="1336"/>
      <c r="F44" s="1336"/>
      <c r="G44" s="1336"/>
      <c r="H44" s="1336"/>
      <c r="I44" s="1336"/>
      <c r="J44" s="1336"/>
      <c r="K44" s="1336"/>
      <c r="L44" s="1336"/>
      <c r="M44" s="1336"/>
      <c r="N44" s="1336"/>
      <c r="O44" s="1336"/>
      <c r="P44" s="1336"/>
      <c r="Q44" s="1336"/>
      <c r="R44" s="1336"/>
      <c r="S44" s="1336"/>
    </row>
    <row r="45" spans="2:19">
      <c r="B45" s="1196">
        <f>B38+1</f>
        <v>24</v>
      </c>
      <c r="D45" s="1190" t="s">
        <v>1027</v>
      </c>
      <c r="E45" s="1336"/>
      <c r="F45" s="1336"/>
      <c r="G45" s="1336"/>
      <c r="H45" s="1336"/>
      <c r="I45" s="1336"/>
      <c r="J45" s="948" t="s">
        <v>1566</v>
      </c>
      <c r="K45" s="1336"/>
      <c r="L45" s="939">
        <v>0</v>
      </c>
      <c r="M45" s="1336"/>
      <c r="N45" s="948" t="s">
        <v>1566</v>
      </c>
      <c r="O45" s="1336"/>
      <c r="P45" s="1336"/>
      <c r="Q45" s="1336"/>
      <c r="R45" s="939">
        <v>0</v>
      </c>
      <c r="S45" s="1336"/>
    </row>
    <row r="46" spans="2:19">
      <c r="E46" s="1336"/>
      <c r="F46" s="1336"/>
      <c r="G46" s="1336"/>
      <c r="H46" s="1336"/>
      <c r="I46" s="1336"/>
      <c r="J46" s="1336"/>
      <c r="K46" s="1336"/>
      <c r="L46" s="1336"/>
      <c r="M46" s="1336"/>
      <c r="N46" s="1336"/>
      <c r="O46" s="1336"/>
      <c r="P46" s="1336"/>
      <c r="Q46" s="1336"/>
      <c r="R46" s="1336"/>
      <c r="S46" s="1336"/>
    </row>
    <row r="47" spans="2:19">
      <c r="B47" s="1196">
        <f>B45+1</f>
        <v>25</v>
      </c>
      <c r="D47" s="1201" t="s">
        <v>1028</v>
      </c>
      <c r="E47" s="939">
        <v>31</v>
      </c>
      <c r="F47" s="940">
        <v>0</v>
      </c>
      <c r="G47" s="940">
        <f>G14</f>
        <v>214</v>
      </c>
      <c r="H47" s="941">
        <f t="shared" ref="H47:H58" si="10">IF(F47=0,0.5,F47/G47)</f>
        <v>0.5</v>
      </c>
      <c r="I47" s="942"/>
      <c r="J47" s="939"/>
      <c r="K47" s="943">
        <f t="shared" ref="K47" si="11">+J47*H47</f>
        <v>0</v>
      </c>
      <c r="L47" s="943">
        <f>+K47+L45</f>
        <v>0</v>
      </c>
      <c r="M47" s="942"/>
      <c r="N47" s="939">
        <v>0</v>
      </c>
      <c r="O47" s="943">
        <f>IF($D$177="True-Up Adjustment",N47-J47,0)</f>
        <v>0</v>
      </c>
      <c r="P47" s="943">
        <f>IF($D$177="True-Up Adjustment",IF(AND(J47&gt;=0,N47&gt;=0),IF(O47&gt;=0,K47+O47,N47/J47*K47),IF(AND(J47&lt;0,N47&lt;0),IF(O47&lt;0,K47+O47,N47/J47*K47),0)),0)</f>
        <v>0</v>
      </c>
      <c r="Q47" s="943">
        <f t="shared" ref="Q47:Q58" si="12">IF(AND(J47&gt;=0,N47&lt;0),N47,IF(AND(J47&lt;0,N47&gt;=0),N47,0))</f>
        <v>0</v>
      </c>
      <c r="R47" s="943">
        <f>R45+P47+Q47</f>
        <v>0</v>
      </c>
      <c r="S47" s="942"/>
    </row>
    <row r="48" spans="2:19">
      <c r="B48" s="1196">
        <f t="shared" ref="B48:B59" si="13">+B47+1</f>
        <v>26</v>
      </c>
      <c r="D48" s="1201" t="s">
        <v>1029</v>
      </c>
      <c r="E48" s="939">
        <v>28</v>
      </c>
      <c r="F48" s="940">
        <v>0</v>
      </c>
      <c r="G48" s="940">
        <f t="shared" ref="G48:G58" si="14">G47</f>
        <v>214</v>
      </c>
      <c r="H48" s="941">
        <f t="shared" si="10"/>
        <v>0.5</v>
      </c>
      <c r="I48" s="942"/>
      <c r="J48" s="939"/>
      <c r="K48" s="943">
        <f>+J48*H48</f>
        <v>0</v>
      </c>
      <c r="L48" s="943">
        <f t="shared" ref="L48:L58" si="15">+K48+L47</f>
        <v>0</v>
      </c>
      <c r="M48" s="942"/>
      <c r="N48" s="939">
        <v>0</v>
      </c>
      <c r="O48" s="943">
        <f t="shared" ref="O48:O58" si="16">IF($D$177="True-Up Adjustment",N48-J48,0)</f>
        <v>0</v>
      </c>
      <c r="P48" s="943">
        <f t="shared" ref="P48:P58" si="17">IF($D$177="True-Up Adjustment",IF(AND(J48&gt;=0,N48&gt;=0),IF(O48&gt;=0,K48+O48,N48/J48*K48),IF(AND(J48&lt;0,N48&lt;0),IF(O48&lt;0,K48+O48,N48/J48*K48),0)),0)</f>
        <v>0</v>
      </c>
      <c r="Q48" s="943">
        <f t="shared" si="12"/>
        <v>0</v>
      </c>
      <c r="R48" s="943">
        <f t="shared" ref="R48:R58" si="18">R47+P48+Q48</f>
        <v>0</v>
      </c>
      <c r="S48" s="942"/>
    </row>
    <row r="49" spans="2:19">
      <c r="B49" s="1196">
        <f t="shared" si="13"/>
        <v>27</v>
      </c>
      <c r="D49" s="1201" t="s">
        <v>1030</v>
      </c>
      <c r="E49" s="939">
        <v>31</v>
      </c>
      <c r="F49" s="940">
        <v>0</v>
      </c>
      <c r="G49" s="940">
        <f t="shared" si="14"/>
        <v>214</v>
      </c>
      <c r="H49" s="941">
        <f t="shared" si="10"/>
        <v>0.5</v>
      </c>
      <c r="I49" s="942"/>
      <c r="J49" s="939"/>
      <c r="K49" s="943">
        <f t="shared" ref="K49:K58" si="19">+J49*H49</f>
        <v>0</v>
      </c>
      <c r="L49" s="943">
        <f t="shared" si="15"/>
        <v>0</v>
      </c>
      <c r="M49" s="942"/>
      <c r="N49" s="939">
        <v>0</v>
      </c>
      <c r="O49" s="943">
        <f t="shared" si="16"/>
        <v>0</v>
      </c>
      <c r="P49" s="943">
        <f t="shared" si="17"/>
        <v>0</v>
      </c>
      <c r="Q49" s="943">
        <f t="shared" si="12"/>
        <v>0</v>
      </c>
      <c r="R49" s="943">
        <f t="shared" si="18"/>
        <v>0</v>
      </c>
      <c r="S49" s="942"/>
    </row>
    <row r="50" spans="2:19">
      <c r="B50" s="1196">
        <f t="shared" si="13"/>
        <v>28</v>
      </c>
      <c r="D50" s="1201" t="s">
        <v>502</v>
      </c>
      <c r="E50" s="939">
        <v>30</v>
      </c>
      <c r="F50" s="940">
        <v>0</v>
      </c>
      <c r="G50" s="940">
        <f t="shared" si="14"/>
        <v>214</v>
      </c>
      <c r="H50" s="941">
        <f t="shared" si="10"/>
        <v>0.5</v>
      </c>
      <c r="I50" s="942"/>
      <c r="J50" s="939"/>
      <c r="K50" s="943">
        <f t="shared" si="19"/>
        <v>0</v>
      </c>
      <c r="L50" s="943">
        <f t="shared" si="15"/>
        <v>0</v>
      </c>
      <c r="M50" s="942"/>
      <c r="N50" s="939">
        <v>0</v>
      </c>
      <c r="O50" s="943">
        <f t="shared" si="16"/>
        <v>0</v>
      </c>
      <c r="P50" s="943">
        <f t="shared" si="17"/>
        <v>0</v>
      </c>
      <c r="Q50" s="943">
        <f t="shared" si="12"/>
        <v>0</v>
      </c>
      <c r="R50" s="943">
        <f t="shared" si="18"/>
        <v>0</v>
      </c>
      <c r="S50" s="942"/>
    </row>
    <row r="51" spans="2:19">
      <c r="B51" s="1196">
        <f t="shared" si="13"/>
        <v>29</v>
      </c>
      <c r="D51" s="1201" t="s">
        <v>503</v>
      </c>
      <c r="E51" s="939">
        <v>31</v>
      </c>
      <c r="F51" s="940">
        <v>0</v>
      </c>
      <c r="G51" s="940">
        <f t="shared" si="14"/>
        <v>214</v>
      </c>
      <c r="H51" s="941">
        <f t="shared" si="10"/>
        <v>0.5</v>
      </c>
      <c r="I51" s="942"/>
      <c r="J51" s="939"/>
      <c r="K51" s="943">
        <f t="shared" si="19"/>
        <v>0</v>
      </c>
      <c r="L51" s="943">
        <f t="shared" si="15"/>
        <v>0</v>
      </c>
      <c r="M51" s="942"/>
      <c r="N51" s="939">
        <v>0</v>
      </c>
      <c r="O51" s="943">
        <f t="shared" si="16"/>
        <v>0</v>
      </c>
      <c r="P51" s="943">
        <f t="shared" si="17"/>
        <v>0</v>
      </c>
      <c r="Q51" s="943">
        <f t="shared" si="12"/>
        <v>0</v>
      </c>
      <c r="R51" s="943">
        <f t="shared" si="18"/>
        <v>0</v>
      </c>
      <c r="S51" s="942"/>
    </row>
    <row r="52" spans="2:19">
      <c r="B52" s="1196">
        <f t="shared" si="13"/>
        <v>30</v>
      </c>
      <c r="D52" s="1201" t="s">
        <v>504</v>
      </c>
      <c r="E52" s="939">
        <v>30</v>
      </c>
      <c r="F52" s="940">
        <f t="shared" ref="F52:F57" si="20">E53+F53</f>
        <v>185</v>
      </c>
      <c r="G52" s="940">
        <f t="shared" si="14"/>
        <v>214</v>
      </c>
      <c r="H52" s="941">
        <f t="shared" si="10"/>
        <v>0.86448598130841126</v>
      </c>
      <c r="I52" s="942"/>
      <c r="J52" s="939"/>
      <c r="K52" s="943">
        <f t="shared" si="19"/>
        <v>0</v>
      </c>
      <c r="L52" s="943">
        <f t="shared" si="15"/>
        <v>0</v>
      </c>
      <c r="M52" s="942"/>
      <c r="N52" s="939">
        <v>0</v>
      </c>
      <c r="O52" s="943">
        <f t="shared" si="16"/>
        <v>0</v>
      </c>
      <c r="P52" s="943">
        <f t="shared" si="17"/>
        <v>0</v>
      </c>
      <c r="Q52" s="943">
        <f t="shared" si="12"/>
        <v>0</v>
      </c>
      <c r="R52" s="943">
        <f t="shared" si="18"/>
        <v>0</v>
      </c>
      <c r="S52" s="942"/>
    </row>
    <row r="53" spans="2:19">
      <c r="B53" s="1196">
        <f t="shared" si="13"/>
        <v>31</v>
      </c>
      <c r="D53" s="1201" t="s">
        <v>1031</v>
      </c>
      <c r="E53" s="939">
        <v>31</v>
      </c>
      <c r="F53" s="940">
        <f t="shared" si="20"/>
        <v>154</v>
      </c>
      <c r="G53" s="940">
        <f t="shared" si="14"/>
        <v>214</v>
      </c>
      <c r="H53" s="941">
        <f t="shared" si="10"/>
        <v>0.71962616822429903</v>
      </c>
      <c r="I53" s="942"/>
      <c r="J53" s="939"/>
      <c r="K53" s="943">
        <f t="shared" si="19"/>
        <v>0</v>
      </c>
      <c r="L53" s="943">
        <f t="shared" si="15"/>
        <v>0</v>
      </c>
      <c r="M53" s="942"/>
      <c r="N53" s="939">
        <v>0</v>
      </c>
      <c r="O53" s="943">
        <f t="shared" si="16"/>
        <v>0</v>
      </c>
      <c r="P53" s="943">
        <f t="shared" si="17"/>
        <v>0</v>
      </c>
      <c r="Q53" s="943">
        <f t="shared" si="12"/>
        <v>0</v>
      </c>
      <c r="R53" s="943">
        <f t="shared" si="18"/>
        <v>0</v>
      </c>
      <c r="S53" s="942"/>
    </row>
    <row r="54" spans="2:19">
      <c r="B54" s="1196">
        <f t="shared" si="13"/>
        <v>32</v>
      </c>
      <c r="D54" s="1201" t="s">
        <v>1032</v>
      </c>
      <c r="E54" s="939">
        <v>31</v>
      </c>
      <c r="F54" s="940">
        <f t="shared" si="20"/>
        <v>123</v>
      </c>
      <c r="G54" s="940">
        <f t="shared" si="14"/>
        <v>214</v>
      </c>
      <c r="H54" s="941">
        <f t="shared" si="10"/>
        <v>0.57476635514018692</v>
      </c>
      <c r="I54" s="942"/>
      <c r="J54" s="939"/>
      <c r="K54" s="943">
        <f t="shared" si="19"/>
        <v>0</v>
      </c>
      <c r="L54" s="943">
        <f t="shared" si="15"/>
        <v>0</v>
      </c>
      <c r="M54" s="942"/>
      <c r="N54" s="939">
        <v>0</v>
      </c>
      <c r="O54" s="943">
        <f t="shared" si="16"/>
        <v>0</v>
      </c>
      <c r="P54" s="943">
        <f t="shared" si="17"/>
        <v>0</v>
      </c>
      <c r="Q54" s="943">
        <f t="shared" si="12"/>
        <v>0</v>
      </c>
      <c r="R54" s="943">
        <f t="shared" si="18"/>
        <v>0</v>
      </c>
      <c r="S54" s="942"/>
    </row>
    <row r="55" spans="2:19">
      <c r="B55" s="1196">
        <f t="shared" si="13"/>
        <v>33</v>
      </c>
      <c r="D55" s="1201" t="s">
        <v>1033</v>
      </c>
      <c r="E55" s="939">
        <v>30</v>
      </c>
      <c r="F55" s="940">
        <f t="shared" si="20"/>
        <v>93</v>
      </c>
      <c r="G55" s="940">
        <f t="shared" si="14"/>
        <v>214</v>
      </c>
      <c r="H55" s="941">
        <f t="shared" si="10"/>
        <v>0.43457943925233644</v>
      </c>
      <c r="I55" s="942"/>
      <c r="J55" s="939"/>
      <c r="K55" s="943">
        <f t="shared" si="19"/>
        <v>0</v>
      </c>
      <c r="L55" s="943">
        <f t="shared" si="15"/>
        <v>0</v>
      </c>
      <c r="M55" s="942"/>
      <c r="N55" s="939">
        <v>0</v>
      </c>
      <c r="O55" s="943">
        <f t="shared" si="16"/>
        <v>0</v>
      </c>
      <c r="P55" s="943">
        <f t="shared" si="17"/>
        <v>0</v>
      </c>
      <c r="Q55" s="943">
        <f t="shared" si="12"/>
        <v>0</v>
      </c>
      <c r="R55" s="943">
        <f t="shared" si="18"/>
        <v>0</v>
      </c>
      <c r="S55" s="942"/>
    </row>
    <row r="56" spans="2:19">
      <c r="B56" s="1196">
        <f t="shared" si="13"/>
        <v>34</v>
      </c>
      <c r="D56" s="1201" t="s">
        <v>1034</v>
      </c>
      <c r="E56" s="939">
        <v>31</v>
      </c>
      <c r="F56" s="940">
        <f t="shared" si="20"/>
        <v>62</v>
      </c>
      <c r="G56" s="940">
        <f t="shared" si="14"/>
        <v>214</v>
      </c>
      <c r="H56" s="941">
        <f t="shared" si="10"/>
        <v>0.28971962616822428</v>
      </c>
      <c r="I56" s="942"/>
      <c r="J56" s="939"/>
      <c r="K56" s="943">
        <f t="shared" si="19"/>
        <v>0</v>
      </c>
      <c r="L56" s="943">
        <f t="shared" si="15"/>
        <v>0</v>
      </c>
      <c r="M56" s="942"/>
      <c r="N56" s="939">
        <v>0</v>
      </c>
      <c r="O56" s="943">
        <f t="shared" si="16"/>
        <v>0</v>
      </c>
      <c r="P56" s="943">
        <f t="shared" si="17"/>
        <v>0</v>
      </c>
      <c r="Q56" s="943">
        <f t="shared" si="12"/>
        <v>0</v>
      </c>
      <c r="R56" s="943">
        <f t="shared" si="18"/>
        <v>0</v>
      </c>
      <c r="S56" s="942"/>
    </row>
    <row r="57" spans="2:19">
      <c r="B57" s="1196">
        <f t="shared" si="13"/>
        <v>35</v>
      </c>
      <c r="D57" s="1201" t="s">
        <v>1035</v>
      </c>
      <c r="E57" s="939">
        <v>30</v>
      </c>
      <c r="F57" s="940">
        <f t="shared" si="20"/>
        <v>32</v>
      </c>
      <c r="G57" s="940">
        <f t="shared" si="14"/>
        <v>214</v>
      </c>
      <c r="H57" s="941">
        <f t="shared" si="10"/>
        <v>0.14953271028037382</v>
      </c>
      <c r="I57" s="942"/>
      <c r="J57" s="939"/>
      <c r="K57" s="943">
        <f t="shared" si="19"/>
        <v>0</v>
      </c>
      <c r="L57" s="943">
        <f t="shared" si="15"/>
        <v>0</v>
      </c>
      <c r="M57" s="942"/>
      <c r="N57" s="939">
        <v>0</v>
      </c>
      <c r="O57" s="943">
        <f t="shared" si="16"/>
        <v>0</v>
      </c>
      <c r="P57" s="943">
        <f t="shared" si="17"/>
        <v>0</v>
      </c>
      <c r="Q57" s="943">
        <f t="shared" si="12"/>
        <v>0</v>
      </c>
      <c r="R57" s="943">
        <f t="shared" si="18"/>
        <v>0</v>
      </c>
      <c r="S57" s="942"/>
    </row>
    <row r="58" spans="2:19">
      <c r="B58" s="1196">
        <f t="shared" si="13"/>
        <v>36</v>
      </c>
      <c r="D58" s="1202" t="s">
        <v>1036</v>
      </c>
      <c r="E58" s="939">
        <v>31</v>
      </c>
      <c r="F58" s="944">
        <v>1</v>
      </c>
      <c r="G58" s="940">
        <f t="shared" si="14"/>
        <v>214</v>
      </c>
      <c r="H58" s="941">
        <f t="shared" si="10"/>
        <v>4.6728971962616819E-3</v>
      </c>
      <c r="I58" s="942"/>
      <c r="J58" s="939"/>
      <c r="K58" s="943">
        <f t="shared" si="19"/>
        <v>0</v>
      </c>
      <c r="L58" s="943">
        <f t="shared" si="15"/>
        <v>0</v>
      </c>
      <c r="M58" s="942"/>
      <c r="N58" s="939">
        <v>0</v>
      </c>
      <c r="O58" s="943">
        <f t="shared" si="16"/>
        <v>0</v>
      </c>
      <c r="P58" s="943">
        <f t="shared" si="17"/>
        <v>0</v>
      </c>
      <c r="Q58" s="943">
        <f t="shared" si="12"/>
        <v>0</v>
      </c>
      <c r="R58" s="943">
        <f t="shared" si="18"/>
        <v>0</v>
      </c>
      <c r="S58" s="942"/>
    </row>
    <row r="59" spans="2:19">
      <c r="B59" s="1196">
        <f t="shared" si="13"/>
        <v>37</v>
      </c>
      <c r="D59" s="1203" t="str">
        <f>"Total (Sum of Lines "&amp;B47&amp;" - "&amp;B58&amp;")"</f>
        <v>Total (Sum of Lines 25 - 36)</v>
      </c>
      <c r="E59" s="945">
        <f>SUM(E47:E58)</f>
        <v>365</v>
      </c>
      <c r="F59" s="1204"/>
      <c r="G59" s="1204"/>
      <c r="H59" s="1205"/>
      <c r="I59" s="946"/>
      <c r="J59" s="945">
        <f>SUM(J47:J58)</f>
        <v>0</v>
      </c>
      <c r="K59" s="945">
        <f>SUM(K47:K58)</f>
        <v>0</v>
      </c>
      <c r="L59" s="945"/>
      <c r="M59" s="946"/>
      <c r="N59" s="945">
        <f>SUM(N47:N58)</f>
        <v>0</v>
      </c>
      <c r="O59" s="945">
        <f>SUM(O47:O58)</f>
        <v>0</v>
      </c>
      <c r="P59" s="945">
        <f>SUM(P47:P58)</f>
        <v>0</v>
      </c>
      <c r="Q59" s="945">
        <f>SUM(Q47:Q58)</f>
        <v>0</v>
      </c>
      <c r="R59" s="947"/>
      <c r="S59" s="946"/>
    </row>
    <row r="60" spans="2:19">
      <c r="D60" s="1206"/>
      <c r="E60" s="1206"/>
      <c r="F60" s="1206"/>
      <c r="G60" s="1206"/>
      <c r="H60" s="1207"/>
      <c r="I60" s="1207"/>
      <c r="K60" s="1208"/>
      <c r="L60" s="1207"/>
      <c r="M60" s="1207"/>
      <c r="N60" s="1215"/>
      <c r="O60" s="1208"/>
      <c r="P60" s="1208"/>
      <c r="Q60" s="1208"/>
      <c r="R60" s="1207"/>
      <c r="S60" s="1207"/>
    </row>
    <row r="61" spans="2:19" ht="15" customHeight="1">
      <c r="B61" s="1196">
        <f>B59+1</f>
        <v>38</v>
      </c>
      <c r="D61" s="1190" t="s">
        <v>1037</v>
      </c>
      <c r="I61" s="1207"/>
      <c r="J61" s="948" t="s">
        <v>1566</v>
      </c>
      <c r="L61" s="939">
        <v>0</v>
      </c>
      <c r="M61" s="1209"/>
      <c r="N61" s="948" t="s">
        <v>1566</v>
      </c>
      <c r="R61" s="939">
        <v>0</v>
      </c>
    </row>
    <row r="62" spans="2:19">
      <c r="B62" s="1196">
        <f>B61+1</f>
        <v>39</v>
      </c>
      <c r="D62" s="1190" t="s">
        <v>1038</v>
      </c>
      <c r="I62" s="1207"/>
      <c r="J62" s="1210" t="s">
        <v>1039</v>
      </c>
      <c r="L62" s="949">
        <v>0</v>
      </c>
      <c r="M62" s="1211"/>
      <c r="N62" s="1210"/>
      <c r="R62" s="949">
        <v>0</v>
      </c>
    </row>
    <row r="63" spans="2:19">
      <c r="B63" s="1196">
        <f>B62+1</f>
        <v>40</v>
      </c>
      <c r="D63" s="1190" t="s">
        <v>1040</v>
      </c>
      <c r="I63" s="1207"/>
      <c r="J63" s="1203" t="str">
        <f>"(Col. "&amp;L42&amp;", Line "&amp;B61&amp;" + Line "&amp;B62&amp;")"</f>
        <v>(Col. (H), Line 38 + Line 39)</v>
      </c>
      <c r="L63" s="950">
        <f>L61+L62</f>
        <v>0</v>
      </c>
      <c r="M63" s="1207"/>
      <c r="N63" s="1203" t="str">
        <f>"(Col. "&amp;R42&amp;", Line "&amp;B61&amp;" + Line "&amp;B62&amp;")"</f>
        <v>(Col. (M), Line 38 + Line 39)</v>
      </c>
      <c r="R63" s="950">
        <f>R61+R62</f>
        <v>0</v>
      </c>
    </row>
    <row r="64" spans="2:19">
      <c r="I64" s="1207"/>
      <c r="L64" s="950"/>
      <c r="M64" s="1207"/>
      <c r="R64" s="950"/>
    </row>
    <row r="65" spans="2:19">
      <c r="B65" s="1196">
        <f>B63+1</f>
        <v>41</v>
      </c>
      <c r="D65" s="1190" t="s">
        <v>1049</v>
      </c>
      <c r="I65" s="1207"/>
      <c r="J65" s="948" t="s">
        <v>1595</v>
      </c>
      <c r="L65" s="939">
        <v>0</v>
      </c>
      <c r="M65" s="1209"/>
      <c r="N65" s="948" t="s">
        <v>1594</v>
      </c>
      <c r="R65" s="939">
        <v>0</v>
      </c>
    </row>
    <row r="66" spans="2:19">
      <c r="B66" s="1196">
        <f>B65+1</f>
        <v>42</v>
      </c>
      <c r="D66" s="1190" t="s">
        <v>1042</v>
      </c>
      <c r="I66" s="1207"/>
      <c r="J66" s="1210" t="s">
        <v>1039</v>
      </c>
      <c r="L66" s="949">
        <v>0</v>
      </c>
      <c r="M66" s="1207"/>
      <c r="N66" s="1210"/>
      <c r="R66" s="949">
        <v>0</v>
      </c>
    </row>
    <row r="67" spans="2:19">
      <c r="B67" s="1196">
        <f>B66+1</f>
        <v>43</v>
      </c>
      <c r="D67" s="1190" t="s">
        <v>1043</v>
      </c>
      <c r="I67" s="1207"/>
      <c r="J67" s="1203" t="str">
        <f>"(Col. "&amp;L42&amp;", Line "&amp;B65&amp;" + Line "&amp;B66&amp;")"</f>
        <v>(Col. (H), Line 41 + Line 42)</v>
      </c>
      <c r="L67" s="950">
        <f>L65+L66</f>
        <v>0</v>
      </c>
      <c r="M67" s="1207"/>
      <c r="N67" s="1203" t="str">
        <f>"(Col. "&amp;R42&amp;", Line "&amp;B65&amp;" + Line "&amp;B66&amp;")"</f>
        <v>(Col. (M), Line 41 + Line 42)</v>
      </c>
      <c r="R67" s="950">
        <f>R65+R66</f>
        <v>0</v>
      </c>
    </row>
    <row r="68" spans="2:19">
      <c r="I68" s="1207"/>
      <c r="L68" s="950"/>
      <c r="M68" s="1207"/>
      <c r="R68" s="950"/>
    </row>
    <row r="69" spans="2:19">
      <c r="B69" s="1196">
        <f>B67+1</f>
        <v>44</v>
      </c>
      <c r="D69" s="1190" t="s">
        <v>1044</v>
      </c>
      <c r="I69" s="1207"/>
      <c r="J69" s="1203" t="str">
        <f>"([Col. "&amp;L42&amp;", Line "&amp;B63&amp;" + Line "&amp;B67&amp;"] /2)"</f>
        <v>([Col. (H), Line 40 + Line 43] /2)</v>
      </c>
      <c r="L69" s="943">
        <f>(L63+L67)/2</f>
        <v>0</v>
      </c>
      <c r="M69" s="1207"/>
      <c r="N69" s="1203" t="str">
        <f>"([Col. "&amp;R42&amp;", Line "&amp;B63&amp;" + Line "&amp;B67&amp;"] /2)"</f>
        <v>([Col. (M), Line 40 + Line 43] /2)</v>
      </c>
      <c r="R69" s="943">
        <f>(R63+R67)/2</f>
        <v>0</v>
      </c>
    </row>
    <row r="70" spans="2:19">
      <c r="B70" s="1196">
        <f>B69+1</f>
        <v>45</v>
      </c>
      <c r="D70" s="1206" t="s">
        <v>1045</v>
      </c>
      <c r="E70" s="1206"/>
      <c r="F70" s="1206"/>
      <c r="G70" s="1206"/>
      <c r="H70" s="1207"/>
      <c r="I70" s="1207"/>
      <c r="J70" s="1203" t="str">
        <f>"(Col. "&amp;L42&amp;", Line "&amp;B58&amp;" )"</f>
        <v>(Col. (H), Line 36 )</v>
      </c>
      <c r="K70" s="1208"/>
      <c r="L70" s="943">
        <f>L58</f>
        <v>0</v>
      </c>
      <c r="M70" s="1207"/>
      <c r="N70" s="1203" t="str">
        <f>"(Col. "&amp;R42&amp;", Line "&amp;B58&amp;" )"</f>
        <v>(Col. (M), Line 36 )</v>
      </c>
      <c r="R70" s="943">
        <f>R58</f>
        <v>0</v>
      </c>
    </row>
    <row r="71" spans="2:19" ht="13.5" thickBot="1">
      <c r="B71" s="1196">
        <f>B70+1</f>
        <v>46</v>
      </c>
      <c r="D71" s="1212" t="s">
        <v>1287</v>
      </c>
      <c r="E71" s="1206"/>
      <c r="F71" s="1206"/>
      <c r="G71" s="1206"/>
      <c r="H71" s="1207"/>
      <c r="I71" s="1207"/>
      <c r="J71" s="1203" t="str">
        <f>"(Col. "&amp;L42&amp;", Line "&amp;B69&amp;" + Line "&amp;B70&amp;")"</f>
        <v>(Col. (H), Line 44 + Line 45)</v>
      </c>
      <c r="K71" s="1208"/>
      <c r="L71" s="951">
        <f>L69+L70</f>
        <v>0</v>
      </c>
      <c r="M71" s="1207"/>
      <c r="N71" s="1203" t="str">
        <f>"(Col. "&amp;R42&amp;", Line "&amp;B69&amp;" + Line "&amp;B70&amp;")"</f>
        <v>(Col. (M), Line 44 + Line 45)</v>
      </c>
      <c r="R71" s="951">
        <f>R69+R70</f>
        <v>0</v>
      </c>
    </row>
    <row r="72" spans="2:19" ht="13">
      <c r="D72" s="1189"/>
    </row>
    <row r="73" spans="2:19" ht="13">
      <c r="D73" s="1189" t="s">
        <v>1050</v>
      </c>
      <c r="J73" s="1213"/>
      <c r="K73" s="1214"/>
      <c r="L73" s="1214"/>
      <c r="N73" s="1214"/>
      <c r="O73" s="1214"/>
      <c r="P73" s="1214"/>
      <c r="Q73" s="1214"/>
      <c r="R73" s="1214"/>
    </row>
    <row r="74" spans="2:19" ht="13">
      <c r="D74" s="1515" t="s">
        <v>1008</v>
      </c>
      <c r="E74" s="1516"/>
      <c r="F74" s="1516"/>
      <c r="G74" s="1516"/>
      <c r="H74" s="1517"/>
      <c r="I74" s="1197"/>
      <c r="J74" s="1518" t="s">
        <v>1009</v>
      </c>
      <c r="K74" s="1519"/>
      <c r="L74" s="1520"/>
      <c r="M74" s="1197"/>
      <c r="N74" s="1518" t="s">
        <v>1010</v>
      </c>
      <c r="O74" s="1519"/>
      <c r="P74" s="1519"/>
      <c r="Q74" s="1519"/>
      <c r="R74" s="1520"/>
      <c r="S74" s="1197"/>
    </row>
    <row r="75" spans="2:19" ht="13">
      <c r="D75" s="1198" t="s">
        <v>799</v>
      </c>
      <c r="E75" s="1198" t="s">
        <v>800</v>
      </c>
      <c r="F75" s="1198" t="s">
        <v>961</v>
      </c>
      <c r="G75" s="1198" t="s">
        <v>802</v>
      </c>
      <c r="H75" s="1198" t="s">
        <v>962</v>
      </c>
      <c r="I75" s="1197"/>
      <c r="J75" s="1198" t="s">
        <v>804</v>
      </c>
      <c r="K75" s="1198" t="s">
        <v>805</v>
      </c>
      <c r="L75" s="1198" t="s">
        <v>1011</v>
      </c>
      <c r="M75" s="1197"/>
      <c r="N75" s="1198" t="s">
        <v>882</v>
      </c>
      <c r="O75" s="1198" t="s">
        <v>1012</v>
      </c>
      <c r="P75" s="1198" t="s">
        <v>884</v>
      </c>
      <c r="Q75" s="1198" t="s">
        <v>1013</v>
      </c>
      <c r="R75" s="1198" t="s">
        <v>1014</v>
      </c>
      <c r="S75" s="1197"/>
    </row>
    <row r="76" spans="2:19" ht="50">
      <c r="B76" s="1199" t="s">
        <v>898</v>
      </c>
      <c r="D76" s="1200" t="s">
        <v>501</v>
      </c>
      <c r="E76" s="1200" t="s">
        <v>1015</v>
      </c>
      <c r="F76" s="1200" t="s">
        <v>1047</v>
      </c>
      <c r="G76" s="1200" t="s">
        <v>1048</v>
      </c>
      <c r="H76" s="1200" t="s">
        <v>1018</v>
      </c>
      <c r="I76" s="1336"/>
      <c r="J76" s="1200" t="s">
        <v>1019</v>
      </c>
      <c r="K76" s="1200" t="s">
        <v>1020</v>
      </c>
      <c r="L76" s="1200" t="s">
        <v>1021</v>
      </c>
      <c r="M76" s="1336"/>
      <c r="N76" s="1200" t="s">
        <v>1022</v>
      </c>
      <c r="O76" s="1200" t="s">
        <v>1023</v>
      </c>
      <c r="P76" s="1200" t="s">
        <v>1024</v>
      </c>
      <c r="Q76" s="1200" t="s">
        <v>1025</v>
      </c>
      <c r="R76" s="1200" t="s">
        <v>1026</v>
      </c>
      <c r="S76" s="1336"/>
    </row>
    <row r="77" spans="2:19">
      <c r="E77" s="1336"/>
      <c r="F77" s="1336"/>
      <c r="G77" s="1336"/>
      <c r="H77" s="1336"/>
      <c r="I77" s="1336"/>
      <c r="J77" s="1336"/>
      <c r="K77" s="1336"/>
      <c r="L77" s="1336"/>
      <c r="M77" s="1336"/>
      <c r="N77" s="1336"/>
      <c r="O77" s="1336"/>
      <c r="P77" s="1336"/>
      <c r="Q77" s="1336"/>
      <c r="R77" s="1336"/>
      <c r="S77" s="1336"/>
    </row>
    <row r="78" spans="2:19">
      <c r="B78" s="1196">
        <f>B71+1</f>
        <v>47</v>
      </c>
      <c r="D78" s="1190" t="s">
        <v>1027</v>
      </c>
      <c r="E78" s="1336"/>
      <c r="F78" s="1336"/>
      <c r="G78" s="1336"/>
      <c r="H78" s="1336"/>
      <c r="I78" s="1336"/>
      <c r="J78" s="948" t="s">
        <v>1566</v>
      </c>
      <c r="K78" s="1336"/>
      <c r="L78" s="939">
        <f>'1C - ADIT BOY'!$H$161</f>
        <v>-130571974.30000412</v>
      </c>
      <c r="M78" s="1336"/>
      <c r="N78" s="948" t="s">
        <v>1566</v>
      </c>
      <c r="O78" s="1336"/>
      <c r="P78" s="1336"/>
      <c r="Q78" s="1336"/>
      <c r="R78" s="939">
        <f>'1C - ADIT BOY'!$H$161</f>
        <v>-130571974.30000412</v>
      </c>
      <c r="S78" s="1336"/>
    </row>
    <row r="79" spans="2:19">
      <c r="E79" s="1336"/>
      <c r="F79" s="1336"/>
      <c r="G79" s="1336"/>
      <c r="H79" s="1336"/>
      <c r="I79" s="1336"/>
      <c r="J79" s="1336"/>
      <c r="K79" s="1336"/>
      <c r="L79" s="1336"/>
      <c r="M79" s="1336"/>
      <c r="N79" s="1336"/>
      <c r="O79" s="1336"/>
      <c r="P79" s="1336"/>
      <c r="Q79" s="1336"/>
      <c r="R79" s="1336"/>
      <c r="S79" s="1336"/>
    </row>
    <row r="80" spans="2:19">
      <c r="B80" s="1196">
        <f>B78+1</f>
        <v>48</v>
      </c>
      <c r="D80" s="1201" t="s">
        <v>1028</v>
      </c>
      <c r="E80" s="939">
        <v>31</v>
      </c>
      <c r="F80" s="940">
        <v>0</v>
      </c>
      <c r="G80" s="940">
        <f>G14</f>
        <v>214</v>
      </c>
      <c r="H80" s="941">
        <f t="shared" ref="H80:H91" si="21">IF(F80=0,0.5,F80/G80)</f>
        <v>0.5</v>
      </c>
      <c r="I80" s="942"/>
      <c r="J80" s="939">
        <v>-748434.89791303745</v>
      </c>
      <c r="K80" s="943">
        <f>+J80*H80</f>
        <v>-374217.44895651873</v>
      </c>
      <c r="L80" s="943">
        <f>+K80+L78</f>
        <v>-130946191.74896064</v>
      </c>
      <c r="M80" s="942"/>
      <c r="N80" s="939">
        <v>467408.78200795507</v>
      </c>
      <c r="O80" s="943">
        <f>IF($D$177="True-Up Adjustment",N80-J80,0)</f>
        <v>1215843.6799209926</v>
      </c>
      <c r="P80" s="943">
        <f>IF($D$177="True-Up Adjustment",IF(AND(J80&gt;=0,N80&gt;=0),IF(O80&gt;=0,K80+O80,N80/J80*K80),IF(AND(J80&lt;0,N80&lt;0),IF(O80&lt;0,K80+O80,N80/J80*K80),0)),0)</f>
        <v>0</v>
      </c>
      <c r="Q80" s="943">
        <f t="shared" ref="Q80:Q91" si="22">IF(AND(J80&gt;=0,N80&lt;0),N80,IF(AND(J80&lt;0,N80&gt;=0),N80,0))</f>
        <v>467408.78200795507</v>
      </c>
      <c r="R80" s="943">
        <f>R78+P80+Q80</f>
        <v>-130104565.51799616</v>
      </c>
      <c r="S80" s="942"/>
    </row>
    <row r="81" spans="2:19">
      <c r="B81" s="1196">
        <f t="shared" ref="B81:B92" si="23">+B80+1</f>
        <v>49</v>
      </c>
      <c r="D81" s="1201" t="s">
        <v>1029</v>
      </c>
      <c r="E81" s="939">
        <v>28</v>
      </c>
      <c r="F81" s="940">
        <v>0</v>
      </c>
      <c r="G81" s="940">
        <f t="shared" ref="G81:G91" si="24">G80</f>
        <v>214</v>
      </c>
      <c r="H81" s="941">
        <f t="shared" si="21"/>
        <v>0.5</v>
      </c>
      <c r="I81" s="942"/>
      <c r="J81" s="939">
        <v>-741580.94899633527</v>
      </c>
      <c r="K81" s="943">
        <f>+J81*H81</f>
        <v>-370790.47449816763</v>
      </c>
      <c r="L81" s="943">
        <f t="shared" ref="L81:L91" si="25">+K81+L80</f>
        <v>-131316982.22345881</v>
      </c>
      <c r="M81" s="942"/>
      <c r="N81" s="939">
        <v>463128.38845063496</v>
      </c>
      <c r="O81" s="943">
        <f t="shared" ref="O81:O91" si="26">IF($D$177="True-Up Adjustment",N81-J81,0)</f>
        <v>1204709.3374469702</v>
      </c>
      <c r="P81" s="943">
        <f t="shared" ref="P81:P91" si="27">IF($D$177="True-Up Adjustment",IF(AND(J81&gt;=0,N81&gt;=0),IF(O81&gt;=0,K81+O81,N81/J81*K81),IF(AND(J81&lt;0,N81&lt;0),IF(O81&lt;0,K81+O81,N81/J81*K81),0)),0)</f>
        <v>0</v>
      </c>
      <c r="Q81" s="943">
        <f t="shared" si="22"/>
        <v>463128.38845063496</v>
      </c>
      <c r="R81" s="943">
        <f t="shared" ref="R81:R90" si="28">R80+P81+Q81</f>
        <v>-129641437.12954552</v>
      </c>
      <c r="S81" s="942"/>
    </row>
    <row r="82" spans="2:19">
      <c r="B82" s="1196">
        <f t="shared" si="23"/>
        <v>50</v>
      </c>
      <c r="D82" s="1201" t="s">
        <v>1030</v>
      </c>
      <c r="E82" s="939">
        <v>31</v>
      </c>
      <c r="F82" s="940">
        <v>0</v>
      </c>
      <c r="G82" s="940">
        <f t="shared" si="24"/>
        <v>214</v>
      </c>
      <c r="H82" s="941">
        <f t="shared" si="21"/>
        <v>0.5</v>
      </c>
      <c r="I82" s="942"/>
      <c r="J82" s="939">
        <v>-731254.98844715091</v>
      </c>
      <c r="K82" s="943">
        <f t="shared" ref="K82:K91" si="29">+J82*H82</f>
        <v>-365627.49422357546</v>
      </c>
      <c r="L82" s="943">
        <f t="shared" si="25"/>
        <v>-131682609.71768239</v>
      </c>
      <c r="M82" s="942"/>
      <c r="N82" s="939">
        <v>456679.6717261548</v>
      </c>
      <c r="O82" s="943">
        <f t="shared" si="26"/>
        <v>1187934.6601733058</v>
      </c>
      <c r="P82" s="943">
        <f t="shared" si="27"/>
        <v>0</v>
      </c>
      <c r="Q82" s="943">
        <f t="shared" si="22"/>
        <v>456679.6717261548</v>
      </c>
      <c r="R82" s="943">
        <f t="shared" si="28"/>
        <v>-129184757.45781937</v>
      </c>
      <c r="S82" s="942"/>
    </row>
    <row r="83" spans="2:19">
      <c r="B83" s="1196">
        <f t="shared" si="23"/>
        <v>51</v>
      </c>
      <c r="D83" s="1201" t="s">
        <v>502</v>
      </c>
      <c r="E83" s="939">
        <v>30</v>
      </c>
      <c r="F83" s="940">
        <v>0</v>
      </c>
      <c r="G83" s="940">
        <f t="shared" si="24"/>
        <v>214</v>
      </c>
      <c r="H83" s="941">
        <f t="shared" si="21"/>
        <v>0.5</v>
      </c>
      <c r="I83" s="942"/>
      <c r="J83" s="939">
        <v>-719453.67508148425</v>
      </c>
      <c r="K83" s="943">
        <f t="shared" si="29"/>
        <v>-359726.83754074213</v>
      </c>
      <c r="L83" s="943">
        <f t="shared" si="25"/>
        <v>-132042336.55522314</v>
      </c>
      <c r="M83" s="942"/>
      <c r="N83" s="939">
        <v>449309.5751129135</v>
      </c>
      <c r="O83" s="943">
        <f t="shared" si="26"/>
        <v>1168763.2501943978</v>
      </c>
      <c r="P83" s="943">
        <f t="shared" si="27"/>
        <v>0</v>
      </c>
      <c r="Q83" s="943">
        <f t="shared" si="22"/>
        <v>449309.5751129135</v>
      </c>
      <c r="R83" s="943">
        <f t="shared" si="28"/>
        <v>-128735447.88270646</v>
      </c>
      <c r="S83" s="942"/>
    </row>
    <row r="84" spans="2:19">
      <c r="B84" s="1196">
        <f t="shared" si="23"/>
        <v>52</v>
      </c>
      <c r="D84" s="1201" t="s">
        <v>503</v>
      </c>
      <c r="E84" s="939">
        <v>31</v>
      </c>
      <c r="F84" s="940">
        <v>0</v>
      </c>
      <c r="G84" s="940">
        <f t="shared" si="24"/>
        <v>214</v>
      </c>
      <c r="H84" s="941">
        <f t="shared" si="21"/>
        <v>0.5</v>
      </c>
      <c r="I84" s="942"/>
      <c r="J84" s="939">
        <v>-695649.8077903412</v>
      </c>
      <c r="K84" s="943">
        <f t="shared" si="29"/>
        <v>-347824.9038951706</v>
      </c>
      <c r="L84" s="943">
        <f t="shared" si="25"/>
        <v>-132390161.45911831</v>
      </c>
      <c r="M84" s="942"/>
      <c r="N84" s="939">
        <v>434443.70414850937</v>
      </c>
      <c r="O84" s="943">
        <f t="shared" si="26"/>
        <v>1130093.5119388506</v>
      </c>
      <c r="P84" s="943">
        <f t="shared" si="27"/>
        <v>0</v>
      </c>
      <c r="Q84" s="943">
        <f t="shared" si="22"/>
        <v>434443.70414850937</v>
      </c>
      <c r="R84" s="943">
        <f t="shared" si="28"/>
        <v>-128301004.17855795</v>
      </c>
      <c r="S84" s="942"/>
    </row>
    <row r="85" spans="2:19">
      <c r="B85" s="1196">
        <f t="shared" si="23"/>
        <v>53</v>
      </c>
      <c r="D85" s="1201" t="s">
        <v>504</v>
      </c>
      <c r="E85" s="939">
        <v>30</v>
      </c>
      <c r="F85" s="940">
        <f t="shared" ref="F85:F90" si="30">E86+F86</f>
        <v>185</v>
      </c>
      <c r="G85" s="940">
        <f t="shared" si="24"/>
        <v>214</v>
      </c>
      <c r="H85" s="941">
        <f t="shared" si="21"/>
        <v>0.86448598130841126</v>
      </c>
      <c r="I85" s="942"/>
      <c r="J85" s="939">
        <v>-628895.51226178883</v>
      </c>
      <c r="K85" s="943">
        <f t="shared" si="29"/>
        <v>-543671.3540580885</v>
      </c>
      <c r="L85" s="943">
        <f t="shared" si="25"/>
        <v>-132933832.81317639</v>
      </c>
      <c r="M85" s="942"/>
      <c r="N85" s="939">
        <v>392754.64868917252</v>
      </c>
      <c r="O85" s="943">
        <f t="shared" si="26"/>
        <v>1021650.1609509613</v>
      </c>
      <c r="P85" s="943">
        <f t="shared" si="27"/>
        <v>0</v>
      </c>
      <c r="Q85" s="943">
        <f t="shared" si="22"/>
        <v>392754.64868917252</v>
      </c>
      <c r="R85" s="943">
        <f t="shared" si="28"/>
        <v>-127908249.52986878</v>
      </c>
      <c r="S85" s="942"/>
    </row>
    <row r="86" spans="2:19">
      <c r="B86" s="1196">
        <f t="shared" si="23"/>
        <v>54</v>
      </c>
      <c r="D86" s="1201" t="s">
        <v>1031</v>
      </c>
      <c r="E86" s="939">
        <v>31</v>
      </c>
      <c r="F86" s="940">
        <f t="shared" si="30"/>
        <v>154</v>
      </c>
      <c r="G86" s="940">
        <f t="shared" si="24"/>
        <v>214</v>
      </c>
      <c r="H86" s="941">
        <f t="shared" si="21"/>
        <v>0.71962616822429903</v>
      </c>
      <c r="I86" s="942"/>
      <c r="J86" s="939">
        <v>-571157.5571256309</v>
      </c>
      <c r="K86" s="943">
        <f t="shared" si="29"/>
        <v>-411019.92428666895</v>
      </c>
      <c r="L86" s="943">
        <f t="shared" si="25"/>
        <v>-133344852.73746306</v>
      </c>
      <c r="M86" s="942"/>
      <c r="N86" s="939">
        <v>356696.43258904992</v>
      </c>
      <c r="O86" s="943">
        <f t="shared" si="26"/>
        <v>927853.98971468082</v>
      </c>
      <c r="P86" s="943">
        <f t="shared" si="27"/>
        <v>0</v>
      </c>
      <c r="Q86" s="943">
        <f t="shared" si="22"/>
        <v>356696.43258904992</v>
      </c>
      <c r="R86" s="943">
        <f t="shared" si="28"/>
        <v>-127551553.09727973</v>
      </c>
      <c r="S86" s="942"/>
    </row>
    <row r="87" spans="2:19">
      <c r="B87" s="1196">
        <f t="shared" si="23"/>
        <v>55</v>
      </c>
      <c r="D87" s="1201" t="s">
        <v>1032</v>
      </c>
      <c r="E87" s="939">
        <v>31</v>
      </c>
      <c r="F87" s="940">
        <f t="shared" si="30"/>
        <v>123</v>
      </c>
      <c r="G87" s="940">
        <f t="shared" si="24"/>
        <v>214</v>
      </c>
      <c r="H87" s="941">
        <f t="shared" si="21"/>
        <v>0.57476635514018692</v>
      </c>
      <c r="I87" s="942"/>
      <c r="J87" s="939">
        <v>-558210.53103530651</v>
      </c>
      <c r="K87" s="943">
        <f t="shared" si="29"/>
        <v>-320840.63232403132</v>
      </c>
      <c r="L87" s="943">
        <f t="shared" si="25"/>
        <v>-133665693.36978708</v>
      </c>
      <c r="M87" s="942"/>
      <c r="N87" s="939">
        <v>348610.82125214121</v>
      </c>
      <c r="O87" s="943">
        <f t="shared" si="26"/>
        <v>906821.35228744778</v>
      </c>
      <c r="P87" s="943">
        <f t="shared" si="27"/>
        <v>0</v>
      </c>
      <c r="Q87" s="943">
        <f t="shared" si="22"/>
        <v>348610.82125214121</v>
      </c>
      <c r="R87" s="943">
        <f t="shared" si="28"/>
        <v>-127202942.27602759</v>
      </c>
      <c r="S87" s="942"/>
    </row>
    <row r="88" spans="2:19">
      <c r="B88" s="1196">
        <f t="shared" si="23"/>
        <v>56</v>
      </c>
      <c r="D88" s="1201" t="s">
        <v>1033</v>
      </c>
      <c r="E88" s="939">
        <v>30</v>
      </c>
      <c r="F88" s="940">
        <f t="shared" si="30"/>
        <v>93</v>
      </c>
      <c r="G88" s="940">
        <f t="shared" si="24"/>
        <v>214</v>
      </c>
      <c r="H88" s="941">
        <f t="shared" si="21"/>
        <v>0.43457943925233644</v>
      </c>
      <c r="I88" s="942"/>
      <c r="J88" s="939">
        <v>-551197.15565468185</v>
      </c>
      <c r="K88" s="943">
        <f t="shared" si="29"/>
        <v>-239538.95082189445</v>
      </c>
      <c r="L88" s="943">
        <f t="shared" si="25"/>
        <v>-133905232.32060897</v>
      </c>
      <c r="M88" s="942"/>
      <c r="N88" s="939">
        <v>344230.86348485487</v>
      </c>
      <c r="O88" s="943">
        <f t="shared" si="26"/>
        <v>895428.01913953666</v>
      </c>
      <c r="P88" s="943">
        <f t="shared" si="27"/>
        <v>0</v>
      </c>
      <c r="Q88" s="943">
        <f t="shared" si="22"/>
        <v>344230.86348485487</v>
      </c>
      <c r="R88" s="943">
        <f t="shared" si="28"/>
        <v>-126858711.41254273</v>
      </c>
      <c r="S88" s="942"/>
    </row>
    <row r="89" spans="2:19">
      <c r="B89" s="1196">
        <f t="shared" si="23"/>
        <v>57</v>
      </c>
      <c r="D89" s="1201" t="s">
        <v>1034</v>
      </c>
      <c r="E89" s="939">
        <v>31</v>
      </c>
      <c r="F89" s="940">
        <f t="shared" si="30"/>
        <v>62</v>
      </c>
      <c r="G89" s="940">
        <f t="shared" si="24"/>
        <v>214</v>
      </c>
      <c r="H89" s="941">
        <f t="shared" si="21"/>
        <v>0.28971962616822428</v>
      </c>
      <c r="I89" s="942"/>
      <c r="J89" s="939">
        <v>-541938.75294671918</v>
      </c>
      <c r="K89" s="943">
        <f t="shared" si="29"/>
        <v>-157010.29290979714</v>
      </c>
      <c r="L89" s="943">
        <f t="shared" si="25"/>
        <v>-134062242.61351877</v>
      </c>
      <c r="M89" s="942"/>
      <c r="N89" s="939">
        <v>338448.85259100853</v>
      </c>
      <c r="O89" s="943">
        <f t="shared" si="26"/>
        <v>880387.60553772771</v>
      </c>
      <c r="P89" s="943">
        <f t="shared" si="27"/>
        <v>0</v>
      </c>
      <c r="Q89" s="943">
        <f t="shared" si="22"/>
        <v>338448.85259100853</v>
      </c>
      <c r="R89" s="943">
        <f t="shared" si="28"/>
        <v>-126520262.55995172</v>
      </c>
      <c r="S89" s="942"/>
    </row>
    <row r="90" spans="2:19">
      <c r="B90" s="1196">
        <f t="shared" si="23"/>
        <v>58</v>
      </c>
      <c r="D90" s="1201" t="s">
        <v>1035</v>
      </c>
      <c r="E90" s="939">
        <v>30</v>
      </c>
      <c r="F90" s="940">
        <f t="shared" si="30"/>
        <v>32</v>
      </c>
      <c r="G90" s="940">
        <f t="shared" si="24"/>
        <v>214</v>
      </c>
      <c r="H90" s="941">
        <f t="shared" si="21"/>
        <v>0.14953271028037382</v>
      </c>
      <c r="I90" s="942"/>
      <c r="J90" s="939">
        <v>-532706.85167084425</v>
      </c>
      <c r="K90" s="943">
        <f t="shared" si="29"/>
        <v>-79657.09931526643</v>
      </c>
      <c r="L90" s="943">
        <f t="shared" si="25"/>
        <v>-134141899.71283405</v>
      </c>
      <c r="M90" s="942"/>
      <c r="N90" s="939">
        <v>332683.39223766752</v>
      </c>
      <c r="O90" s="943">
        <f t="shared" si="26"/>
        <v>865390.24390851171</v>
      </c>
      <c r="P90" s="943">
        <f t="shared" si="27"/>
        <v>0</v>
      </c>
      <c r="Q90" s="943">
        <f t="shared" si="22"/>
        <v>332683.39223766752</v>
      </c>
      <c r="R90" s="943">
        <f t="shared" si="28"/>
        <v>-126187579.16771406</v>
      </c>
      <c r="S90" s="942"/>
    </row>
    <row r="91" spans="2:19">
      <c r="B91" s="1196">
        <f t="shared" si="23"/>
        <v>59</v>
      </c>
      <c r="D91" s="1202" t="s">
        <v>1036</v>
      </c>
      <c r="E91" s="939">
        <v>31</v>
      </c>
      <c r="F91" s="940">
        <v>1</v>
      </c>
      <c r="G91" s="940">
        <f t="shared" si="24"/>
        <v>214</v>
      </c>
      <c r="H91" s="941">
        <f t="shared" si="21"/>
        <v>4.6728971962616819E-3</v>
      </c>
      <c r="I91" s="942"/>
      <c r="J91" s="939">
        <v>-481899.44340746396</v>
      </c>
      <c r="K91" s="943">
        <f t="shared" si="29"/>
        <v>-2251.8665579788035</v>
      </c>
      <c r="L91" s="943">
        <f t="shared" si="25"/>
        <v>-134144151.57939203</v>
      </c>
      <c r="M91" s="942"/>
      <c r="N91" s="939">
        <v>300953.40626348759</v>
      </c>
      <c r="O91" s="943">
        <f t="shared" si="26"/>
        <v>782852.84967095149</v>
      </c>
      <c r="P91" s="943">
        <f t="shared" si="27"/>
        <v>0</v>
      </c>
      <c r="Q91" s="943">
        <f t="shared" si="22"/>
        <v>300953.40626348759</v>
      </c>
      <c r="R91" s="943">
        <f>R90+P91+Q91</f>
        <v>-125886625.76145057</v>
      </c>
      <c r="S91" s="942"/>
    </row>
    <row r="92" spans="2:19">
      <c r="B92" s="1196">
        <f t="shared" si="23"/>
        <v>60</v>
      </c>
      <c r="D92" s="1203" t="str">
        <f>"Total (Sum of Lines "&amp;B80&amp;" - "&amp;B91&amp;")"</f>
        <v>Total (Sum of Lines 48 - 59)</v>
      </c>
      <c r="E92" s="945">
        <f>SUM(E80:E91)</f>
        <v>365</v>
      </c>
      <c r="F92" s="1204"/>
      <c r="G92" s="1204"/>
      <c r="H92" s="1205"/>
      <c r="I92" s="946"/>
      <c r="J92" s="945">
        <f>SUM(J80:J91)</f>
        <v>-7502380.1223307848</v>
      </c>
      <c r="K92" s="945">
        <f>SUM(K80:K91)</f>
        <v>-3572177.2793879001</v>
      </c>
      <c r="L92" s="945"/>
      <c r="M92" s="946"/>
      <c r="N92" s="945">
        <f>SUM(N80:N91)</f>
        <v>4685348.5385535499</v>
      </c>
      <c r="O92" s="945">
        <f>SUM(O80:O91)</f>
        <v>12187728.660884336</v>
      </c>
      <c r="P92" s="945">
        <f>SUM(P80:P91)</f>
        <v>0</v>
      </c>
      <c r="Q92" s="945">
        <f>SUM(Q80:Q91)</f>
        <v>4685348.5385535499</v>
      </c>
      <c r="R92" s="947"/>
      <c r="S92" s="946"/>
    </row>
    <row r="93" spans="2:19">
      <c r="D93" s="1206"/>
      <c r="E93" s="1206"/>
      <c r="F93" s="1206"/>
      <c r="G93" s="1206"/>
      <c r="H93" s="1207"/>
      <c r="I93" s="1207"/>
      <c r="J93" s="1216"/>
      <c r="K93" s="1208"/>
      <c r="L93" s="1207"/>
      <c r="M93" s="1207"/>
      <c r="N93" s="1215"/>
      <c r="O93" s="1208"/>
      <c r="P93" s="1461"/>
      <c r="Q93" s="1208"/>
      <c r="R93" s="1207"/>
      <c r="S93" s="1207"/>
    </row>
    <row r="94" spans="2:19" ht="15" customHeight="1">
      <c r="B94" s="1196">
        <f>B92+1</f>
        <v>61</v>
      </c>
      <c r="D94" s="1190" t="s">
        <v>1037</v>
      </c>
      <c r="I94" s="1207"/>
      <c r="J94" s="948" t="s">
        <v>1566</v>
      </c>
      <c r="L94" s="939">
        <f>'1C - ADIT BOY'!$E$13</f>
        <v>-154046745.67674443</v>
      </c>
      <c r="M94" s="1209"/>
      <c r="N94" s="948" t="s">
        <v>1566</v>
      </c>
      <c r="P94" s="1263"/>
      <c r="R94" s="939">
        <f>'1C - ADIT BOY'!$E$13</f>
        <v>-154046745.67674443</v>
      </c>
    </row>
    <row r="95" spans="2:19">
      <c r="B95" s="1196">
        <f>B94+1</f>
        <v>62</v>
      </c>
      <c r="D95" s="1190" t="s">
        <v>1051</v>
      </c>
      <c r="H95" s="1216"/>
      <c r="I95" s="1207"/>
      <c r="J95" s="1210" t="s">
        <v>1039</v>
      </c>
      <c r="L95" s="949">
        <v>0</v>
      </c>
      <c r="M95" s="1211"/>
      <c r="N95" s="1210"/>
      <c r="P95" s="1216"/>
      <c r="R95" s="949">
        <v>0</v>
      </c>
    </row>
    <row r="96" spans="2:19">
      <c r="B96" s="1196">
        <f>B95+1</f>
        <v>63</v>
      </c>
      <c r="D96" s="1190" t="s">
        <v>1040</v>
      </c>
      <c r="I96" s="1207"/>
      <c r="J96" s="1203" t="str">
        <f>"(Col. "&amp;L75&amp;", Line "&amp;B94&amp;" + Line "&amp;B95&amp;")"</f>
        <v>(Col. (H), Line 61 + Line 62)</v>
      </c>
      <c r="L96" s="950">
        <f>L94+L95</f>
        <v>-154046745.67674443</v>
      </c>
      <c r="M96" s="1207"/>
      <c r="N96" s="1203" t="str">
        <f>"(Col. "&amp;R75&amp;", Line "&amp;B94&amp;" + Line "&amp;B95&amp;")"</f>
        <v>(Col. (M), Line 61 + Line 62)</v>
      </c>
      <c r="R96" s="950">
        <f>R94+R95</f>
        <v>-154046745.67674443</v>
      </c>
    </row>
    <row r="97" spans="2:19">
      <c r="I97" s="1207"/>
      <c r="L97" s="950"/>
      <c r="M97" s="1207"/>
      <c r="R97" s="950"/>
    </row>
    <row r="98" spans="2:19">
      <c r="B98" s="1196">
        <f>B96+1</f>
        <v>64</v>
      </c>
      <c r="D98" s="1190" t="s">
        <v>1049</v>
      </c>
      <c r="I98" s="1207"/>
      <c r="J98" s="948" t="s">
        <v>1595</v>
      </c>
      <c r="L98" s="939">
        <v>-168753974.66548654</v>
      </c>
      <c r="M98" s="1209"/>
      <c r="N98" s="948" t="s">
        <v>1594</v>
      </c>
      <c r="R98" s="939">
        <f>'1B - ADIT EOY'!$E$13</f>
        <v>-177122092.97599691</v>
      </c>
    </row>
    <row r="99" spans="2:19">
      <c r="B99" s="1196">
        <f>B98+1</f>
        <v>65</v>
      </c>
      <c r="D99" s="1190" t="s">
        <v>1052</v>
      </c>
      <c r="I99" s="1207"/>
      <c r="J99" s="1210" t="s">
        <v>1039</v>
      </c>
      <c r="L99" s="949">
        <v>0</v>
      </c>
      <c r="M99" s="1207"/>
      <c r="N99" s="1210"/>
      <c r="R99" s="949">
        <v>0</v>
      </c>
    </row>
    <row r="100" spans="2:19">
      <c r="B100" s="1196">
        <f>B99+1</f>
        <v>66</v>
      </c>
      <c r="D100" s="1190" t="s">
        <v>1043</v>
      </c>
      <c r="I100" s="1207"/>
      <c r="J100" s="1203" t="str">
        <f>"(Col. "&amp;L75&amp;", Line "&amp;B98&amp;" + Line "&amp;B99&amp;")"</f>
        <v>(Col. (H), Line 64 + Line 65)</v>
      </c>
      <c r="L100" s="950">
        <f>L98+L99</f>
        <v>-168753974.66548654</v>
      </c>
      <c r="M100" s="1207"/>
      <c r="N100" s="1203" t="str">
        <f>"(Col. "&amp;R75&amp;", Line "&amp;B98&amp;" + Line "&amp;B99&amp;")"</f>
        <v>(Col. (M), Line 64 + Line 65)</v>
      </c>
      <c r="R100" s="950">
        <f>R98+R99</f>
        <v>-177122092.97599691</v>
      </c>
    </row>
    <row r="101" spans="2:19">
      <c r="I101" s="1207"/>
      <c r="L101" s="950"/>
      <c r="M101" s="1207"/>
      <c r="R101" s="950"/>
    </row>
    <row r="102" spans="2:19">
      <c r="B102" s="1196">
        <f>B100+1</f>
        <v>67</v>
      </c>
      <c r="D102" s="1190" t="s">
        <v>1044</v>
      </c>
      <c r="I102" s="1207"/>
      <c r="J102" s="1203" t="str">
        <f>"([Col. "&amp;L75&amp;", Line "&amp;B96&amp;" + Line "&amp;B100&amp;"] /2)"</f>
        <v>([Col. (H), Line 63 + Line 66] /2)</v>
      </c>
      <c r="L102" s="943">
        <f>(L96+L100)/2</f>
        <v>-161400360.17111549</v>
      </c>
      <c r="M102" s="1207"/>
      <c r="N102" s="1203" t="str">
        <f>"([Col. "&amp;R75&amp;", Line "&amp;B96&amp;" + Line "&amp;B100&amp;"] /2)"</f>
        <v>([Col. (M), Line 63 + Line 66] /2)</v>
      </c>
      <c r="R102" s="943">
        <f>(R96+R100)/2</f>
        <v>-165584419.32637066</v>
      </c>
    </row>
    <row r="103" spans="2:19">
      <c r="B103" s="1196">
        <f>B102+1</f>
        <v>68</v>
      </c>
      <c r="D103" s="1206" t="s">
        <v>1045</v>
      </c>
      <c r="E103" s="1206"/>
      <c r="F103" s="1206"/>
      <c r="G103" s="1206"/>
      <c r="H103" s="1207"/>
      <c r="I103" s="1207"/>
      <c r="J103" s="1203" t="str">
        <f>"(Col. "&amp;L75&amp;", Line "&amp;B91&amp;" )"</f>
        <v>(Col. (H), Line 59 )</v>
      </c>
      <c r="K103" s="1460"/>
      <c r="L103" s="943">
        <f>L91</f>
        <v>-134144151.57939203</v>
      </c>
      <c r="M103" s="1207"/>
      <c r="N103" s="1203" t="str">
        <f>"(Col. "&amp;R75&amp;", Line "&amp;B91&amp;" )"</f>
        <v>(Col. (M), Line 59 )</v>
      </c>
      <c r="R103" s="943">
        <f>R91</f>
        <v>-125886625.76145057</v>
      </c>
    </row>
    <row r="104" spans="2:19" ht="13.5" thickBot="1">
      <c r="B104" s="1196">
        <f>B103+1</f>
        <v>69</v>
      </c>
      <c r="D104" s="1212" t="s">
        <v>1288</v>
      </c>
      <c r="E104" s="1206"/>
      <c r="F104" s="1206"/>
      <c r="G104" s="1206"/>
      <c r="H104" s="1207"/>
      <c r="I104" s="1207"/>
      <c r="J104" s="1203" t="str">
        <f>"(Col. "&amp;L75&amp;", Line "&amp;B102&amp;" + Line "&amp;B103&amp;")"</f>
        <v>(Col. (H), Line 67 + Line 68)</v>
      </c>
      <c r="K104" s="1461"/>
      <c r="L104" s="951">
        <f>L102+L103</f>
        <v>-295544511.75050753</v>
      </c>
      <c r="M104" s="1207"/>
      <c r="N104" s="1203" t="str">
        <f>"(Col. "&amp;R75&amp;", Line "&amp;B102&amp;" + Line "&amp;B103&amp;")"</f>
        <v>(Col. (M), Line 67 + Line 68)</v>
      </c>
      <c r="R104" s="951">
        <f>R102+R103</f>
        <v>-291471045.08782125</v>
      </c>
    </row>
    <row r="105" spans="2:19" ht="13">
      <c r="D105" s="1189"/>
      <c r="L105" s="1263"/>
      <c r="N105" s="1216"/>
      <c r="O105" s="1216"/>
    </row>
    <row r="106" spans="2:19" ht="13">
      <c r="D106" s="1189" t="s">
        <v>1053</v>
      </c>
      <c r="J106" s="1522"/>
      <c r="K106" s="1522"/>
      <c r="L106" s="1522"/>
      <c r="N106" s="1522"/>
      <c r="O106" s="1522"/>
      <c r="P106" s="1522"/>
      <c r="Q106" s="1522"/>
      <c r="R106" s="1522"/>
    </row>
    <row r="107" spans="2:19" ht="13">
      <c r="D107" s="1515" t="s">
        <v>1008</v>
      </c>
      <c r="E107" s="1516"/>
      <c r="F107" s="1516"/>
      <c r="G107" s="1516"/>
      <c r="H107" s="1517"/>
      <c r="I107" s="1197"/>
      <c r="J107" s="1518" t="s">
        <v>1009</v>
      </c>
      <c r="K107" s="1519"/>
      <c r="L107" s="1520"/>
      <c r="M107" s="1197"/>
      <c r="N107" s="1518" t="s">
        <v>1010</v>
      </c>
      <c r="O107" s="1519"/>
      <c r="P107" s="1519"/>
      <c r="Q107" s="1519"/>
      <c r="R107" s="1520"/>
      <c r="S107" s="1197"/>
    </row>
    <row r="108" spans="2:19" ht="13">
      <c r="D108" s="1198" t="s">
        <v>799</v>
      </c>
      <c r="E108" s="1198" t="s">
        <v>800</v>
      </c>
      <c r="F108" s="1198" t="s">
        <v>961</v>
      </c>
      <c r="G108" s="1198" t="s">
        <v>802</v>
      </c>
      <c r="H108" s="1198" t="s">
        <v>962</v>
      </c>
      <c r="I108" s="1197"/>
      <c r="J108" s="1198" t="s">
        <v>804</v>
      </c>
      <c r="K108" s="1198" t="s">
        <v>805</v>
      </c>
      <c r="L108" s="1198" t="s">
        <v>1011</v>
      </c>
      <c r="M108" s="1197"/>
      <c r="N108" s="1198" t="s">
        <v>882</v>
      </c>
      <c r="O108" s="1198" t="s">
        <v>1012</v>
      </c>
      <c r="P108" s="1198" t="s">
        <v>884</v>
      </c>
      <c r="Q108" s="1198" t="s">
        <v>1013</v>
      </c>
      <c r="R108" s="1198" t="s">
        <v>1014</v>
      </c>
      <c r="S108" s="1197"/>
    </row>
    <row r="109" spans="2:19" ht="50">
      <c r="B109" s="1199" t="s">
        <v>898</v>
      </c>
      <c r="D109" s="1200" t="s">
        <v>501</v>
      </c>
      <c r="E109" s="1200" t="s">
        <v>1015</v>
      </c>
      <c r="F109" s="1200" t="s">
        <v>1047</v>
      </c>
      <c r="G109" s="1200" t="s">
        <v>1048</v>
      </c>
      <c r="H109" s="1200" t="s">
        <v>1018</v>
      </c>
      <c r="I109" s="1336"/>
      <c r="J109" s="1200" t="s">
        <v>1019</v>
      </c>
      <c r="K109" s="1200" t="s">
        <v>1020</v>
      </c>
      <c r="L109" s="1200" t="s">
        <v>1021</v>
      </c>
      <c r="M109" s="1336"/>
      <c r="N109" s="1200" t="s">
        <v>1022</v>
      </c>
      <c r="O109" s="1200" t="s">
        <v>1023</v>
      </c>
      <c r="P109" s="1200" t="s">
        <v>1024</v>
      </c>
      <c r="Q109" s="1200" t="s">
        <v>1025</v>
      </c>
      <c r="R109" s="1200" t="s">
        <v>1026</v>
      </c>
      <c r="S109" s="1336"/>
    </row>
    <row r="110" spans="2:19">
      <c r="E110" s="1336"/>
      <c r="F110" s="1336"/>
      <c r="G110" s="1336"/>
      <c r="H110" s="1336"/>
      <c r="I110" s="1336"/>
      <c r="J110" s="1336"/>
      <c r="K110" s="1336"/>
      <c r="L110" s="1336"/>
      <c r="M110" s="1336"/>
      <c r="N110" s="1336"/>
      <c r="O110" s="1336"/>
      <c r="P110" s="1336"/>
      <c r="Q110" s="1336"/>
      <c r="R110" s="1336"/>
      <c r="S110" s="1336"/>
    </row>
    <row r="111" spans="2:19">
      <c r="B111" s="1196">
        <f>B104+1</f>
        <v>70</v>
      </c>
      <c r="D111" s="1190" t="s">
        <v>1027</v>
      </c>
      <c r="E111" s="1336"/>
      <c r="F111" s="1336"/>
      <c r="G111" s="1336"/>
      <c r="H111" s="1336"/>
      <c r="I111" s="1336"/>
      <c r="J111" s="948" t="s">
        <v>1566</v>
      </c>
      <c r="K111" s="1336"/>
      <c r="L111" s="939">
        <v>0</v>
      </c>
      <c r="M111" s="1336"/>
      <c r="N111" s="948" t="s">
        <v>1566</v>
      </c>
      <c r="O111" s="1336"/>
      <c r="P111" s="1336"/>
      <c r="Q111" s="1336"/>
      <c r="R111" s="939">
        <v>0</v>
      </c>
      <c r="S111" s="1336"/>
    </row>
    <row r="112" spans="2:19">
      <c r="E112" s="1336"/>
      <c r="F112" s="1336"/>
      <c r="G112" s="1336"/>
      <c r="H112" s="1336"/>
      <c r="I112" s="1336"/>
      <c r="J112" s="1336"/>
      <c r="K112" s="1336"/>
      <c r="L112" s="1336"/>
      <c r="M112" s="1336"/>
      <c r="N112" s="1336"/>
      <c r="O112" s="1336"/>
      <c r="P112" s="1336"/>
      <c r="Q112" s="1336"/>
      <c r="R112" s="1336"/>
      <c r="S112" s="1336"/>
    </row>
    <row r="113" spans="2:19">
      <c r="B113" s="1196">
        <f>B111+1</f>
        <v>71</v>
      </c>
      <c r="D113" s="1201" t="s">
        <v>1028</v>
      </c>
      <c r="E113" s="939">
        <v>31</v>
      </c>
      <c r="F113" s="940">
        <v>0</v>
      </c>
      <c r="G113" s="940">
        <f>G14</f>
        <v>214</v>
      </c>
      <c r="H113" s="941">
        <f t="shared" ref="H113:H124" si="31">IF(F113=0,0.5,F113/G113)</f>
        <v>0.5</v>
      </c>
      <c r="I113" s="942"/>
      <c r="J113" s="939">
        <v>0</v>
      </c>
      <c r="K113" s="943">
        <f t="shared" ref="K113:K124" si="32">+J113*H113</f>
        <v>0</v>
      </c>
      <c r="L113" s="943">
        <f>+K113</f>
        <v>0</v>
      </c>
      <c r="M113" s="942"/>
      <c r="N113" s="939">
        <v>0</v>
      </c>
      <c r="O113" s="943">
        <f>IF($D$177="True-Up Adjustment",N113-J113,0)</f>
        <v>0</v>
      </c>
      <c r="P113" s="943">
        <f>IF($D$177="True-Up Adjustment",IF(AND(J113&gt;=0,N113&gt;=0),IF(O113&gt;=0,K113+O113,N113/J113*K113),IF(AND(J113&lt;0,N113&lt;0),IF(O113&lt;0,K113+O113,N113/J113*K113),0)),0)</f>
        <v>0</v>
      </c>
      <c r="Q113" s="943">
        <f t="shared" ref="Q113:Q124" si="33">IF(AND(J113&gt;=0,N113&lt;0),N113,IF(AND(J113&lt;0,N113&gt;=0),N113,0))</f>
        <v>0</v>
      </c>
      <c r="R113" s="943">
        <f>+P113+Q113</f>
        <v>0</v>
      </c>
      <c r="S113" s="942"/>
    </row>
    <row r="114" spans="2:19">
      <c r="B114" s="1196">
        <f t="shared" ref="B114:B125" si="34">+B113+1</f>
        <v>72</v>
      </c>
      <c r="D114" s="1201" t="s">
        <v>1029</v>
      </c>
      <c r="E114" s="939">
        <v>28</v>
      </c>
      <c r="F114" s="940">
        <v>0</v>
      </c>
      <c r="G114" s="940">
        <f>G113</f>
        <v>214</v>
      </c>
      <c r="H114" s="941">
        <f t="shared" si="31"/>
        <v>0.5</v>
      </c>
      <c r="I114" s="942"/>
      <c r="J114" s="939">
        <v>0</v>
      </c>
      <c r="K114" s="943">
        <f t="shared" si="32"/>
        <v>0</v>
      </c>
      <c r="L114" s="943">
        <f t="shared" ref="L114:L124" si="35">+K114+L113</f>
        <v>0</v>
      </c>
      <c r="M114" s="942"/>
      <c r="N114" s="939">
        <v>0</v>
      </c>
      <c r="O114" s="943">
        <f t="shared" ref="O114:O124" si="36">IF($D$177="True-Up Adjustment",N114-J114,0)</f>
        <v>0</v>
      </c>
      <c r="P114" s="943">
        <f t="shared" ref="P114:P124" si="37">IF($D$177="True-Up Adjustment",IF(AND(J114&gt;=0,N114&gt;=0),IF(O114&gt;=0,K114+O114,N114/J114*K114),IF(AND(J114&lt;0,N114&lt;0),IF(O114&lt;0,K114+O114,N114/J114*K114),0)),0)</f>
        <v>0</v>
      </c>
      <c r="Q114" s="943">
        <f t="shared" si="33"/>
        <v>0</v>
      </c>
      <c r="R114" s="943">
        <f t="shared" ref="R114:R124" si="38">R113+P114+Q114</f>
        <v>0</v>
      </c>
      <c r="S114" s="942"/>
    </row>
    <row r="115" spans="2:19">
      <c r="B115" s="1196">
        <f t="shared" si="34"/>
        <v>73</v>
      </c>
      <c r="D115" s="1201" t="s">
        <v>1030</v>
      </c>
      <c r="E115" s="939">
        <v>31</v>
      </c>
      <c r="F115" s="940">
        <v>0</v>
      </c>
      <c r="G115" s="940">
        <f t="shared" ref="G115:G124" si="39">G114</f>
        <v>214</v>
      </c>
      <c r="H115" s="941">
        <f t="shared" si="31"/>
        <v>0.5</v>
      </c>
      <c r="I115" s="942"/>
      <c r="J115" s="939">
        <v>0</v>
      </c>
      <c r="K115" s="943">
        <f t="shared" si="32"/>
        <v>0</v>
      </c>
      <c r="L115" s="943">
        <f t="shared" si="35"/>
        <v>0</v>
      </c>
      <c r="M115" s="942"/>
      <c r="N115" s="939">
        <v>0</v>
      </c>
      <c r="O115" s="943">
        <f t="shared" si="36"/>
        <v>0</v>
      </c>
      <c r="P115" s="943">
        <f t="shared" si="37"/>
        <v>0</v>
      </c>
      <c r="Q115" s="943">
        <f t="shared" si="33"/>
        <v>0</v>
      </c>
      <c r="R115" s="943">
        <f t="shared" si="38"/>
        <v>0</v>
      </c>
      <c r="S115" s="942"/>
    </row>
    <row r="116" spans="2:19">
      <c r="B116" s="1196">
        <f t="shared" si="34"/>
        <v>74</v>
      </c>
      <c r="D116" s="1201" t="s">
        <v>502</v>
      </c>
      <c r="E116" s="939">
        <v>30</v>
      </c>
      <c r="F116" s="940">
        <v>0</v>
      </c>
      <c r="G116" s="940">
        <f t="shared" si="39"/>
        <v>214</v>
      </c>
      <c r="H116" s="941">
        <f t="shared" si="31"/>
        <v>0.5</v>
      </c>
      <c r="I116" s="942"/>
      <c r="J116" s="939">
        <v>0</v>
      </c>
      <c r="K116" s="943">
        <f t="shared" si="32"/>
        <v>0</v>
      </c>
      <c r="L116" s="943">
        <f t="shared" si="35"/>
        <v>0</v>
      </c>
      <c r="M116" s="942"/>
      <c r="N116" s="939">
        <v>0</v>
      </c>
      <c r="O116" s="943">
        <f t="shared" si="36"/>
        <v>0</v>
      </c>
      <c r="P116" s="943">
        <f t="shared" si="37"/>
        <v>0</v>
      </c>
      <c r="Q116" s="943">
        <f t="shared" si="33"/>
        <v>0</v>
      </c>
      <c r="R116" s="943">
        <f t="shared" si="38"/>
        <v>0</v>
      </c>
      <c r="S116" s="942"/>
    </row>
    <row r="117" spans="2:19">
      <c r="B117" s="1196">
        <f t="shared" si="34"/>
        <v>75</v>
      </c>
      <c r="D117" s="1201" t="s">
        <v>503</v>
      </c>
      <c r="E117" s="939">
        <v>31</v>
      </c>
      <c r="F117" s="940">
        <v>0</v>
      </c>
      <c r="G117" s="940">
        <f t="shared" si="39"/>
        <v>214</v>
      </c>
      <c r="H117" s="941">
        <f t="shared" si="31"/>
        <v>0.5</v>
      </c>
      <c r="I117" s="942"/>
      <c r="J117" s="939">
        <v>0</v>
      </c>
      <c r="K117" s="943">
        <f t="shared" si="32"/>
        <v>0</v>
      </c>
      <c r="L117" s="943">
        <f t="shared" si="35"/>
        <v>0</v>
      </c>
      <c r="M117" s="942"/>
      <c r="N117" s="939">
        <v>0</v>
      </c>
      <c r="O117" s="943">
        <f t="shared" si="36"/>
        <v>0</v>
      </c>
      <c r="P117" s="943">
        <f t="shared" si="37"/>
        <v>0</v>
      </c>
      <c r="Q117" s="943">
        <f t="shared" si="33"/>
        <v>0</v>
      </c>
      <c r="R117" s="943">
        <f t="shared" si="38"/>
        <v>0</v>
      </c>
      <c r="S117" s="942"/>
    </row>
    <row r="118" spans="2:19">
      <c r="B118" s="1196">
        <f t="shared" si="34"/>
        <v>76</v>
      </c>
      <c r="D118" s="1201" t="s">
        <v>504</v>
      </c>
      <c r="E118" s="939">
        <v>30</v>
      </c>
      <c r="F118" s="940">
        <f t="shared" ref="F118:F123" si="40">E119+F119</f>
        <v>185</v>
      </c>
      <c r="G118" s="940">
        <f t="shared" si="39"/>
        <v>214</v>
      </c>
      <c r="H118" s="941">
        <f t="shared" si="31"/>
        <v>0.86448598130841126</v>
      </c>
      <c r="I118" s="942"/>
      <c r="J118" s="939">
        <v>0</v>
      </c>
      <c r="K118" s="943">
        <f t="shared" si="32"/>
        <v>0</v>
      </c>
      <c r="L118" s="943">
        <f t="shared" si="35"/>
        <v>0</v>
      </c>
      <c r="M118" s="942"/>
      <c r="N118" s="939">
        <v>0</v>
      </c>
      <c r="O118" s="943">
        <f t="shared" si="36"/>
        <v>0</v>
      </c>
      <c r="P118" s="943">
        <f t="shared" si="37"/>
        <v>0</v>
      </c>
      <c r="Q118" s="943">
        <f t="shared" si="33"/>
        <v>0</v>
      </c>
      <c r="R118" s="943">
        <f t="shared" si="38"/>
        <v>0</v>
      </c>
      <c r="S118" s="942"/>
    </row>
    <row r="119" spans="2:19">
      <c r="B119" s="1196">
        <f t="shared" si="34"/>
        <v>77</v>
      </c>
      <c r="D119" s="1201" t="s">
        <v>1031</v>
      </c>
      <c r="E119" s="939">
        <v>31</v>
      </c>
      <c r="F119" s="940">
        <f t="shared" si="40"/>
        <v>154</v>
      </c>
      <c r="G119" s="940">
        <f t="shared" si="39"/>
        <v>214</v>
      </c>
      <c r="H119" s="941">
        <f t="shared" si="31"/>
        <v>0.71962616822429903</v>
      </c>
      <c r="I119" s="942"/>
      <c r="J119" s="939">
        <v>0</v>
      </c>
      <c r="K119" s="943">
        <f t="shared" si="32"/>
        <v>0</v>
      </c>
      <c r="L119" s="943">
        <f t="shared" si="35"/>
        <v>0</v>
      </c>
      <c r="M119" s="942"/>
      <c r="N119" s="939">
        <v>0</v>
      </c>
      <c r="O119" s="943">
        <f t="shared" si="36"/>
        <v>0</v>
      </c>
      <c r="P119" s="943">
        <f t="shared" si="37"/>
        <v>0</v>
      </c>
      <c r="Q119" s="943">
        <f t="shared" si="33"/>
        <v>0</v>
      </c>
      <c r="R119" s="943">
        <f t="shared" si="38"/>
        <v>0</v>
      </c>
      <c r="S119" s="942"/>
    </row>
    <row r="120" spans="2:19">
      <c r="B120" s="1196">
        <f t="shared" si="34"/>
        <v>78</v>
      </c>
      <c r="D120" s="1201" t="s">
        <v>1032</v>
      </c>
      <c r="E120" s="939">
        <v>31</v>
      </c>
      <c r="F120" s="940">
        <f t="shared" si="40"/>
        <v>123</v>
      </c>
      <c r="G120" s="940">
        <f t="shared" si="39"/>
        <v>214</v>
      </c>
      <c r="H120" s="941">
        <f t="shared" si="31"/>
        <v>0.57476635514018692</v>
      </c>
      <c r="I120" s="942"/>
      <c r="J120" s="939">
        <v>0</v>
      </c>
      <c r="K120" s="943">
        <f t="shared" si="32"/>
        <v>0</v>
      </c>
      <c r="L120" s="943">
        <f t="shared" si="35"/>
        <v>0</v>
      </c>
      <c r="M120" s="942"/>
      <c r="N120" s="939">
        <v>0</v>
      </c>
      <c r="O120" s="943">
        <f t="shared" si="36"/>
        <v>0</v>
      </c>
      <c r="P120" s="943">
        <f t="shared" si="37"/>
        <v>0</v>
      </c>
      <c r="Q120" s="943">
        <f t="shared" si="33"/>
        <v>0</v>
      </c>
      <c r="R120" s="943">
        <f t="shared" si="38"/>
        <v>0</v>
      </c>
      <c r="S120" s="942"/>
    </row>
    <row r="121" spans="2:19">
      <c r="B121" s="1196">
        <f t="shared" si="34"/>
        <v>79</v>
      </c>
      <c r="D121" s="1201" t="s">
        <v>1033</v>
      </c>
      <c r="E121" s="939">
        <v>30</v>
      </c>
      <c r="F121" s="940">
        <f t="shared" si="40"/>
        <v>93</v>
      </c>
      <c r="G121" s="940">
        <f t="shared" si="39"/>
        <v>214</v>
      </c>
      <c r="H121" s="941">
        <f t="shared" si="31"/>
        <v>0.43457943925233644</v>
      </c>
      <c r="I121" s="942"/>
      <c r="J121" s="939">
        <v>0</v>
      </c>
      <c r="K121" s="943">
        <f t="shared" si="32"/>
        <v>0</v>
      </c>
      <c r="L121" s="943">
        <f t="shared" si="35"/>
        <v>0</v>
      </c>
      <c r="M121" s="942"/>
      <c r="N121" s="939">
        <v>0</v>
      </c>
      <c r="O121" s="943">
        <f t="shared" si="36"/>
        <v>0</v>
      </c>
      <c r="P121" s="943">
        <f t="shared" si="37"/>
        <v>0</v>
      </c>
      <c r="Q121" s="943">
        <f t="shared" si="33"/>
        <v>0</v>
      </c>
      <c r="R121" s="943">
        <f t="shared" si="38"/>
        <v>0</v>
      </c>
      <c r="S121" s="942"/>
    </row>
    <row r="122" spans="2:19">
      <c r="B122" s="1196">
        <f t="shared" si="34"/>
        <v>80</v>
      </c>
      <c r="D122" s="1201" t="s">
        <v>1034</v>
      </c>
      <c r="E122" s="939">
        <v>31</v>
      </c>
      <c r="F122" s="940">
        <f t="shared" si="40"/>
        <v>62</v>
      </c>
      <c r="G122" s="940">
        <f t="shared" si="39"/>
        <v>214</v>
      </c>
      <c r="H122" s="941">
        <f t="shared" si="31"/>
        <v>0.28971962616822428</v>
      </c>
      <c r="I122" s="942"/>
      <c r="J122" s="939">
        <v>0</v>
      </c>
      <c r="K122" s="943">
        <f t="shared" si="32"/>
        <v>0</v>
      </c>
      <c r="L122" s="943">
        <f t="shared" si="35"/>
        <v>0</v>
      </c>
      <c r="M122" s="942"/>
      <c r="N122" s="939">
        <v>0</v>
      </c>
      <c r="O122" s="943">
        <f t="shared" si="36"/>
        <v>0</v>
      </c>
      <c r="P122" s="943">
        <f t="shared" si="37"/>
        <v>0</v>
      </c>
      <c r="Q122" s="943">
        <f t="shared" si="33"/>
        <v>0</v>
      </c>
      <c r="R122" s="943">
        <f t="shared" si="38"/>
        <v>0</v>
      </c>
      <c r="S122" s="942"/>
    </row>
    <row r="123" spans="2:19">
      <c r="B123" s="1196">
        <f t="shared" si="34"/>
        <v>81</v>
      </c>
      <c r="D123" s="1201" t="s">
        <v>1035</v>
      </c>
      <c r="E123" s="939">
        <v>30</v>
      </c>
      <c r="F123" s="940">
        <f t="shared" si="40"/>
        <v>32</v>
      </c>
      <c r="G123" s="940">
        <f t="shared" si="39"/>
        <v>214</v>
      </c>
      <c r="H123" s="941">
        <f t="shared" si="31"/>
        <v>0.14953271028037382</v>
      </c>
      <c r="I123" s="942"/>
      <c r="J123" s="939">
        <v>0</v>
      </c>
      <c r="K123" s="943">
        <f t="shared" si="32"/>
        <v>0</v>
      </c>
      <c r="L123" s="943">
        <f t="shared" si="35"/>
        <v>0</v>
      </c>
      <c r="M123" s="942"/>
      <c r="N123" s="939">
        <v>0</v>
      </c>
      <c r="O123" s="943">
        <f t="shared" si="36"/>
        <v>0</v>
      </c>
      <c r="P123" s="943">
        <f t="shared" si="37"/>
        <v>0</v>
      </c>
      <c r="Q123" s="943">
        <f t="shared" si="33"/>
        <v>0</v>
      </c>
      <c r="R123" s="943">
        <f t="shared" si="38"/>
        <v>0</v>
      </c>
      <c r="S123" s="942"/>
    </row>
    <row r="124" spans="2:19">
      <c r="B124" s="1196">
        <f t="shared" si="34"/>
        <v>82</v>
      </c>
      <c r="D124" s="1202" t="s">
        <v>1036</v>
      </c>
      <c r="E124" s="939">
        <v>31</v>
      </c>
      <c r="F124" s="944">
        <v>1</v>
      </c>
      <c r="G124" s="940">
        <f t="shared" si="39"/>
        <v>214</v>
      </c>
      <c r="H124" s="941">
        <f t="shared" si="31"/>
        <v>4.6728971962616819E-3</v>
      </c>
      <c r="I124" s="942"/>
      <c r="J124" s="939">
        <v>0</v>
      </c>
      <c r="K124" s="943">
        <f t="shared" si="32"/>
        <v>0</v>
      </c>
      <c r="L124" s="943">
        <f t="shared" si="35"/>
        <v>0</v>
      </c>
      <c r="M124" s="942"/>
      <c r="N124" s="939">
        <v>0</v>
      </c>
      <c r="O124" s="943">
        <f t="shared" si="36"/>
        <v>0</v>
      </c>
      <c r="P124" s="943">
        <f t="shared" si="37"/>
        <v>0</v>
      </c>
      <c r="Q124" s="943">
        <f t="shared" si="33"/>
        <v>0</v>
      </c>
      <c r="R124" s="943">
        <f t="shared" si="38"/>
        <v>0</v>
      </c>
      <c r="S124" s="942"/>
    </row>
    <row r="125" spans="2:19">
      <c r="B125" s="1196">
        <f t="shared" si="34"/>
        <v>83</v>
      </c>
      <c r="D125" s="1203" t="str">
        <f>"Total (Sum of Lines "&amp;B113&amp;" - "&amp;B124&amp;")"</f>
        <v>Total (Sum of Lines 71 - 82)</v>
      </c>
      <c r="E125" s="945">
        <f>SUM(E113:E124)</f>
        <v>365</v>
      </c>
      <c r="F125" s="1204"/>
      <c r="G125" s="1204"/>
      <c r="H125" s="1205"/>
      <c r="I125" s="946"/>
      <c r="J125" s="945">
        <f>SUM(J113:J124)</f>
        <v>0</v>
      </c>
      <c r="K125" s="945">
        <f>SUM(K113:K124)</f>
        <v>0</v>
      </c>
      <c r="L125" s="947"/>
      <c r="M125" s="946"/>
      <c r="N125" s="945">
        <f>SUM(N113:N124)</f>
        <v>0</v>
      </c>
      <c r="O125" s="945">
        <f>SUM(O113:O124)</f>
        <v>0</v>
      </c>
      <c r="P125" s="945">
        <f>SUM(P113:P124)</f>
        <v>0</v>
      </c>
      <c r="Q125" s="945">
        <f>SUM(Q113:Q124)</f>
        <v>0</v>
      </c>
      <c r="R125" s="947"/>
      <c r="S125" s="946"/>
    </row>
    <row r="126" spans="2:19">
      <c r="D126" s="1206"/>
      <c r="E126" s="1206"/>
      <c r="F126" s="1206"/>
      <c r="G126" s="1206"/>
      <c r="H126" s="1207"/>
      <c r="I126" s="1207"/>
      <c r="K126" s="1208"/>
      <c r="L126" s="1207"/>
      <c r="M126" s="1207"/>
      <c r="N126" s="1215"/>
      <c r="O126" s="1208"/>
      <c r="P126" s="1208"/>
      <c r="Q126" s="1208"/>
      <c r="R126" s="1207"/>
      <c r="S126" s="1207"/>
    </row>
    <row r="127" spans="2:19">
      <c r="B127" s="1196">
        <f>B125+1</f>
        <v>84</v>
      </c>
      <c r="D127" s="1190" t="s">
        <v>1037</v>
      </c>
      <c r="I127" s="1207"/>
      <c r="J127" s="948" t="s">
        <v>1566</v>
      </c>
      <c r="L127" s="939">
        <f>'1C - ADIT BOY'!$E$14</f>
        <v>-4561720.8665741263</v>
      </c>
      <c r="M127" s="1209"/>
      <c r="N127" s="948" t="s">
        <v>1566</v>
      </c>
      <c r="R127" s="939">
        <f>'1C - ADIT BOY'!$E$14</f>
        <v>-4561720.8665741263</v>
      </c>
    </row>
    <row r="128" spans="2:19">
      <c r="B128" s="1196">
        <f>B127+1</f>
        <v>85</v>
      </c>
      <c r="D128" s="1190" t="s">
        <v>1038</v>
      </c>
      <c r="I128" s="1207"/>
      <c r="J128" s="1210" t="s">
        <v>1039</v>
      </c>
      <c r="L128" s="949">
        <v>0</v>
      </c>
      <c r="M128" s="1211"/>
      <c r="N128" s="1210"/>
      <c r="R128" s="949">
        <v>0</v>
      </c>
    </row>
    <row r="129" spans="2:19">
      <c r="B129" s="1196">
        <f>B128+1</f>
        <v>86</v>
      </c>
      <c r="D129" s="1190" t="s">
        <v>1040</v>
      </c>
      <c r="I129" s="1207"/>
      <c r="J129" s="1203" t="str">
        <f>"(Col. "&amp;L108&amp;", Line "&amp;B127&amp;" + Line "&amp;B128&amp;")"</f>
        <v>(Col. (H), Line 84 + Line 85)</v>
      </c>
      <c r="L129" s="950">
        <f>L127+L128</f>
        <v>-4561720.8665741263</v>
      </c>
      <c r="M129" s="1207"/>
      <c r="N129" s="1203" t="str">
        <f>"(Col. "&amp;R108&amp;", Line "&amp;B127&amp;" + Line "&amp;B128&amp;")"</f>
        <v>(Col. (M), Line 84 + Line 85)</v>
      </c>
      <c r="R129" s="950">
        <f>R127+R128</f>
        <v>-4561720.8665741263</v>
      </c>
    </row>
    <row r="130" spans="2:19">
      <c r="I130" s="1207"/>
      <c r="L130" s="950"/>
      <c r="M130" s="1207"/>
      <c r="R130" s="950"/>
    </row>
    <row r="131" spans="2:19">
      <c r="B131" s="1196">
        <f>B129+1</f>
        <v>87</v>
      </c>
      <c r="D131" s="1190" t="s">
        <v>1049</v>
      </c>
      <c r="I131" s="1207"/>
      <c r="J131" s="948" t="s">
        <v>1595</v>
      </c>
      <c r="L131" s="939">
        <v>-4508981.6052154079</v>
      </c>
      <c r="M131" s="1209"/>
      <c r="N131" s="948" t="s">
        <v>1594</v>
      </c>
      <c r="R131" s="939">
        <f>'1B - ADIT EOY'!$E$14</f>
        <v>-12625170.476556666</v>
      </c>
    </row>
    <row r="132" spans="2:19">
      <c r="B132" s="1196">
        <f>B131+1</f>
        <v>88</v>
      </c>
      <c r="D132" s="1190" t="s">
        <v>1042</v>
      </c>
      <c r="I132" s="1207"/>
      <c r="J132" s="1210" t="s">
        <v>1039</v>
      </c>
      <c r="L132" s="949">
        <v>0</v>
      </c>
      <c r="M132" s="1207"/>
      <c r="N132" s="1210"/>
      <c r="R132" s="949">
        <v>0</v>
      </c>
    </row>
    <row r="133" spans="2:19">
      <c r="B133" s="1196">
        <f>B132+1</f>
        <v>89</v>
      </c>
      <c r="D133" s="1190" t="s">
        <v>1043</v>
      </c>
      <c r="I133" s="1207"/>
      <c r="J133" s="1203" t="str">
        <f>"(Col. "&amp;L108&amp;", Line "&amp;B131&amp;" + Line "&amp;B132&amp;")"</f>
        <v>(Col. (H), Line 87 + Line 88)</v>
      </c>
      <c r="L133" s="950">
        <f>L131+L132</f>
        <v>-4508981.6052154079</v>
      </c>
      <c r="M133" s="1207"/>
      <c r="N133" s="1203" t="str">
        <f>"(Col. "&amp;R108&amp;", Line "&amp;B131&amp;" + Line "&amp;B132&amp;")"</f>
        <v>(Col. (M), Line 87 + Line 88)</v>
      </c>
      <c r="R133" s="950">
        <f>R131+R132</f>
        <v>-12625170.476556666</v>
      </c>
    </row>
    <row r="134" spans="2:19">
      <c r="I134" s="1207"/>
      <c r="L134" s="950"/>
      <c r="M134" s="1207"/>
      <c r="R134" s="950"/>
    </row>
    <row r="135" spans="2:19">
      <c r="B135" s="1196">
        <f>B133+1</f>
        <v>90</v>
      </c>
      <c r="D135" s="1190" t="s">
        <v>1044</v>
      </c>
      <c r="I135" s="1207"/>
      <c r="J135" s="1203" t="str">
        <f>"([Col. "&amp;L108&amp;", Line "&amp;B129&amp;" + Line "&amp;B133&amp;"] /2)"</f>
        <v>([Col. (H), Line 86 + Line 89] /2)</v>
      </c>
      <c r="L135" s="943">
        <f>(L129+L133)/2</f>
        <v>-4535351.2358947676</v>
      </c>
      <c r="M135" s="1207"/>
      <c r="N135" s="1203" t="str">
        <f>"([Col. "&amp;R108&amp;", Line "&amp;B129&amp;" + Line "&amp;B133&amp;"] /2)"</f>
        <v>([Col. (M), Line 86 + Line 89] /2)</v>
      </c>
      <c r="R135" s="943">
        <f>(R129+R133)/2</f>
        <v>-8593445.6715653967</v>
      </c>
    </row>
    <row r="136" spans="2:19">
      <c r="B136" s="1196">
        <f>B135+1</f>
        <v>91</v>
      </c>
      <c r="D136" s="1206" t="s">
        <v>1045</v>
      </c>
      <c r="E136" s="1206"/>
      <c r="F136" s="1206"/>
      <c r="G136" s="1206"/>
      <c r="H136" s="1207"/>
      <c r="I136" s="1207"/>
      <c r="J136" s="1203" t="str">
        <f>"(Col. "&amp;L108&amp;", Line "&amp;B124&amp;" )"</f>
        <v>(Col. (H), Line 82 )</v>
      </c>
      <c r="K136" s="1208"/>
      <c r="L136" s="943">
        <f>L124</f>
        <v>0</v>
      </c>
      <c r="M136" s="1207"/>
      <c r="N136" s="1203" t="str">
        <f>"(Col. "&amp;R108&amp;", Line "&amp;B124&amp;" )"</f>
        <v>(Col. (M), Line 82 )</v>
      </c>
      <c r="R136" s="943">
        <f>R124</f>
        <v>0</v>
      </c>
    </row>
    <row r="137" spans="2:19" ht="13.5" thickBot="1">
      <c r="B137" s="1196">
        <f>B136+1</f>
        <v>92</v>
      </c>
      <c r="D137" s="1212" t="s">
        <v>1289</v>
      </c>
      <c r="E137" s="1206"/>
      <c r="F137" s="1206"/>
      <c r="G137" s="1206"/>
      <c r="H137" s="1207"/>
      <c r="I137" s="1207"/>
      <c r="J137" s="1203" t="str">
        <f>"(Col. "&amp;L108&amp;", Line "&amp;B135&amp;" + Line "&amp;B136&amp;")"</f>
        <v>(Col. (H), Line 90 + Line 91)</v>
      </c>
      <c r="K137" s="1208"/>
      <c r="L137" s="951">
        <f>L135+L136</f>
        <v>-4535351.2358947676</v>
      </c>
      <c r="M137" s="1207"/>
      <c r="N137" s="1203" t="str">
        <f>"(Col. "&amp;R108&amp;", Line "&amp;B135&amp;" + Line "&amp;B136&amp;")"</f>
        <v>(Col. (M), Line 90 + Line 91)</v>
      </c>
      <c r="R137" s="951">
        <f>R135+R136</f>
        <v>-8593445.6715653967</v>
      </c>
    </row>
    <row r="138" spans="2:19">
      <c r="D138" s="1206"/>
      <c r="E138" s="1206"/>
      <c r="F138" s="1206"/>
      <c r="G138" s="1206"/>
      <c r="H138" s="1207"/>
      <c r="I138" s="1207"/>
      <c r="K138" s="1208"/>
      <c r="L138" s="1207"/>
      <c r="M138" s="1207"/>
      <c r="O138" s="1208"/>
      <c r="P138" s="1208"/>
      <c r="Q138" s="1208"/>
      <c r="R138" s="1207"/>
      <c r="S138" s="1207"/>
    </row>
    <row r="139" spans="2:19" ht="13">
      <c r="D139" s="1189" t="s">
        <v>1054</v>
      </c>
      <c r="J139" s="1522"/>
      <c r="K139" s="1522"/>
      <c r="L139" s="1522"/>
      <c r="N139" s="1522"/>
      <c r="O139" s="1522"/>
      <c r="P139" s="1522"/>
      <c r="Q139" s="1522"/>
      <c r="R139" s="1522"/>
    </row>
    <row r="140" spans="2:19" ht="13">
      <c r="D140" s="1515" t="s">
        <v>1008</v>
      </c>
      <c r="E140" s="1516"/>
      <c r="F140" s="1516"/>
      <c r="G140" s="1516"/>
      <c r="H140" s="1517"/>
      <c r="I140" s="1197"/>
      <c r="J140" s="1518" t="s">
        <v>1055</v>
      </c>
      <c r="K140" s="1519"/>
      <c r="L140" s="1520"/>
      <c r="M140" s="1197"/>
      <c r="N140" s="1518" t="s">
        <v>1056</v>
      </c>
      <c r="O140" s="1519"/>
      <c r="P140" s="1519"/>
      <c r="Q140" s="1519"/>
      <c r="R140" s="1520"/>
      <c r="S140" s="1197"/>
    </row>
    <row r="141" spans="2:19" ht="13">
      <c r="D141" s="1198" t="s">
        <v>799</v>
      </c>
      <c r="E141" s="1198" t="s">
        <v>800</v>
      </c>
      <c r="F141" s="1198" t="s">
        <v>961</v>
      </c>
      <c r="G141" s="1198" t="s">
        <v>802</v>
      </c>
      <c r="H141" s="1198" t="s">
        <v>962</v>
      </c>
      <c r="I141" s="1197"/>
      <c r="J141" s="1198" t="s">
        <v>804</v>
      </c>
      <c r="K141" s="1198" t="s">
        <v>805</v>
      </c>
      <c r="L141" s="1198" t="s">
        <v>1011</v>
      </c>
      <c r="M141" s="1197"/>
      <c r="N141" s="1198" t="s">
        <v>882</v>
      </c>
      <c r="O141" s="1198" t="s">
        <v>1012</v>
      </c>
      <c r="P141" s="1198" t="s">
        <v>884</v>
      </c>
      <c r="Q141" s="1198" t="s">
        <v>1013</v>
      </c>
      <c r="R141" s="1198" t="s">
        <v>1014</v>
      </c>
      <c r="S141" s="1197"/>
    </row>
    <row r="142" spans="2:19" ht="50">
      <c r="B142" s="1199" t="s">
        <v>898</v>
      </c>
      <c r="D142" s="1200" t="s">
        <v>501</v>
      </c>
      <c r="E142" s="1200" t="s">
        <v>1015</v>
      </c>
      <c r="F142" s="1200" t="s">
        <v>1047</v>
      </c>
      <c r="G142" s="1200" t="s">
        <v>1048</v>
      </c>
      <c r="H142" s="1200" t="s">
        <v>1018</v>
      </c>
      <c r="I142" s="1336"/>
      <c r="J142" s="1200" t="s">
        <v>1019</v>
      </c>
      <c r="K142" s="1200" t="s">
        <v>1020</v>
      </c>
      <c r="L142" s="1200" t="s">
        <v>1021</v>
      </c>
      <c r="M142" s="1336"/>
      <c r="N142" s="1200" t="s">
        <v>1022</v>
      </c>
      <c r="O142" s="1200" t="s">
        <v>1023</v>
      </c>
      <c r="P142" s="1200" t="s">
        <v>1024</v>
      </c>
      <c r="Q142" s="1200" t="s">
        <v>1025</v>
      </c>
      <c r="R142" s="1200" t="s">
        <v>1026</v>
      </c>
      <c r="S142" s="1336"/>
    </row>
    <row r="143" spans="2:19">
      <c r="E143" s="1336"/>
      <c r="F143" s="1336"/>
      <c r="G143" s="1336"/>
      <c r="H143" s="1336"/>
      <c r="I143" s="1336"/>
      <c r="J143" s="1336"/>
      <c r="K143" s="1336"/>
      <c r="L143" s="1336"/>
      <c r="M143" s="1336"/>
      <c r="N143" s="1336"/>
      <c r="O143" s="1336"/>
      <c r="P143" s="1336"/>
      <c r="Q143" s="1336"/>
      <c r="R143" s="1336"/>
      <c r="S143" s="1336"/>
    </row>
    <row r="144" spans="2:19">
      <c r="B144" s="1196">
        <f>B137+1</f>
        <v>93</v>
      </c>
      <c r="D144" s="1190" t="s">
        <v>1057</v>
      </c>
      <c r="E144" s="1336"/>
      <c r="F144" s="1336"/>
      <c r="G144" s="1336"/>
      <c r="H144" s="1336"/>
      <c r="I144" s="1336"/>
      <c r="J144" s="948" t="s">
        <v>1566</v>
      </c>
      <c r="K144" s="1336"/>
      <c r="L144" s="939">
        <v>0</v>
      </c>
      <c r="M144" s="1336"/>
      <c r="N144" s="948" t="s">
        <v>1566</v>
      </c>
      <c r="O144" s="1336"/>
      <c r="P144" s="1336"/>
      <c r="Q144" s="1336"/>
      <c r="R144" s="939">
        <v>0</v>
      </c>
      <c r="S144" s="1336"/>
    </row>
    <row r="145" spans="2:19">
      <c r="E145" s="1336"/>
      <c r="F145" s="1336"/>
      <c r="G145" s="1336"/>
      <c r="H145" s="1336"/>
      <c r="I145" s="1336"/>
      <c r="J145" s="1336"/>
      <c r="K145" s="1336"/>
      <c r="L145" s="1336"/>
      <c r="M145" s="1336"/>
      <c r="N145" s="1336"/>
      <c r="O145" s="1336"/>
      <c r="P145" s="1336"/>
      <c r="Q145" s="1336"/>
      <c r="R145" s="1336"/>
      <c r="S145" s="1336"/>
    </row>
    <row r="146" spans="2:19">
      <c r="B146" s="1196">
        <f>B144+1</f>
        <v>94</v>
      </c>
      <c r="D146" s="1201" t="s">
        <v>1028</v>
      </c>
      <c r="E146" s="939">
        <v>31</v>
      </c>
      <c r="F146" s="940">
        <v>0</v>
      </c>
      <c r="G146" s="940">
        <f>G14</f>
        <v>214</v>
      </c>
      <c r="H146" s="941">
        <f t="shared" ref="H146:H157" si="41">IF(F146=0,0.5,F146/G146)</f>
        <v>0.5</v>
      </c>
      <c r="I146" s="942"/>
      <c r="J146" s="939">
        <v>0</v>
      </c>
      <c r="K146" s="943">
        <f t="shared" ref="K146:K157" si="42">+J146*H146</f>
        <v>0</v>
      </c>
      <c r="L146" s="943">
        <f>+K146</f>
        <v>0</v>
      </c>
      <c r="M146" s="942"/>
      <c r="N146" s="939">
        <v>0</v>
      </c>
      <c r="O146" s="943">
        <f>IF($D$177="True-Up Adjustment",N146-J146,0)</f>
        <v>0</v>
      </c>
      <c r="P146" s="943">
        <f>IF($D$177="True-Up Adjustment",IF(AND(J146&gt;=0,N146&gt;=0),IF(O146&gt;=0,K146+O146,N146/J146*K146),IF(AND(J146&lt;0,N146&lt;0),IF(O146&lt;0,K146+O146,N146/J146*K146),0)),0)</f>
        <v>0</v>
      </c>
      <c r="Q146" s="943">
        <f t="shared" ref="Q146:Q157" si="43">IF(AND(J146&gt;=0,N146&lt;0),N146,IF(AND(J146&lt;0,N146&gt;=0),N146,0))</f>
        <v>0</v>
      </c>
      <c r="R146" s="943">
        <f>+P146+Q146</f>
        <v>0</v>
      </c>
      <c r="S146" s="942"/>
    </row>
    <row r="147" spans="2:19">
      <c r="B147" s="1196">
        <f t="shared" ref="B147:B158" si="44">+B146+1</f>
        <v>95</v>
      </c>
      <c r="D147" s="1201" t="s">
        <v>1029</v>
      </c>
      <c r="E147" s="939">
        <v>28</v>
      </c>
      <c r="F147" s="940">
        <v>0</v>
      </c>
      <c r="G147" s="940">
        <f t="shared" ref="G147:G157" si="45">G81</f>
        <v>214</v>
      </c>
      <c r="H147" s="941">
        <f t="shared" si="41"/>
        <v>0.5</v>
      </c>
      <c r="I147" s="942"/>
      <c r="J147" s="939">
        <v>0</v>
      </c>
      <c r="K147" s="943">
        <f t="shared" si="42"/>
        <v>0</v>
      </c>
      <c r="L147" s="943">
        <f t="shared" ref="L147:L157" si="46">+K147+L146</f>
        <v>0</v>
      </c>
      <c r="M147" s="942"/>
      <c r="N147" s="939">
        <v>0</v>
      </c>
      <c r="O147" s="943">
        <f t="shared" ref="O147:O157" si="47">IF($D$177="True-Up Adjustment",N147-J147,0)</f>
        <v>0</v>
      </c>
      <c r="P147" s="943">
        <f t="shared" ref="P147:P157" si="48">IF($D$177="True-Up Adjustment",IF(AND(J147&gt;=0,N147&gt;=0),IF(O147&gt;=0,K147+O147,N147/J147*K147),IF(AND(J147&lt;0,N147&lt;0),IF(O147&lt;0,K147+O147,N147/J147*K147),0)),0)</f>
        <v>0</v>
      </c>
      <c r="Q147" s="943">
        <f t="shared" si="43"/>
        <v>0</v>
      </c>
      <c r="R147" s="943">
        <f t="shared" ref="R147:R157" si="49">R146+P147+Q147</f>
        <v>0</v>
      </c>
      <c r="S147" s="942"/>
    </row>
    <row r="148" spans="2:19">
      <c r="B148" s="1196">
        <f t="shared" si="44"/>
        <v>96</v>
      </c>
      <c r="D148" s="1201" t="s">
        <v>1030</v>
      </c>
      <c r="E148" s="939">
        <v>31</v>
      </c>
      <c r="F148" s="940">
        <v>0</v>
      </c>
      <c r="G148" s="940">
        <f t="shared" si="45"/>
        <v>214</v>
      </c>
      <c r="H148" s="941">
        <f t="shared" si="41"/>
        <v>0.5</v>
      </c>
      <c r="I148" s="942"/>
      <c r="J148" s="939">
        <v>0</v>
      </c>
      <c r="K148" s="943">
        <f t="shared" si="42"/>
        <v>0</v>
      </c>
      <c r="L148" s="943">
        <f t="shared" si="46"/>
        <v>0</v>
      </c>
      <c r="M148" s="942"/>
      <c r="N148" s="939">
        <v>0</v>
      </c>
      <c r="O148" s="943">
        <f t="shared" si="47"/>
        <v>0</v>
      </c>
      <c r="P148" s="943">
        <f t="shared" si="48"/>
        <v>0</v>
      </c>
      <c r="Q148" s="943">
        <f t="shared" si="43"/>
        <v>0</v>
      </c>
      <c r="R148" s="943">
        <f t="shared" si="49"/>
        <v>0</v>
      </c>
      <c r="S148" s="942"/>
    </row>
    <row r="149" spans="2:19">
      <c r="B149" s="1196">
        <f t="shared" si="44"/>
        <v>97</v>
      </c>
      <c r="D149" s="1201" t="s">
        <v>502</v>
      </c>
      <c r="E149" s="939">
        <v>30</v>
      </c>
      <c r="F149" s="940">
        <v>0</v>
      </c>
      <c r="G149" s="940">
        <f t="shared" si="45"/>
        <v>214</v>
      </c>
      <c r="H149" s="941">
        <f t="shared" si="41"/>
        <v>0.5</v>
      </c>
      <c r="I149" s="942"/>
      <c r="J149" s="939">
        <v>0</v>
      </c>
      <c r="K149" s="943">
        <f t="shared" si="42"/>
        <v>0</v>
      </c>
      <c r="L149" s="943">
        <f t="shared" si="46"/>
        <v>0</v>
      </c>
      <c r="M149" s="942"/>
      <c r="N149" s="939">
        <v>0</v>
      </c>
      <c r="O149" s="943">
        <f t="shared" si="47"/>
        <v>0</v>
      </c>
      <c r="P149" s="943">
        <f t="shared" si="48"/>
        <v>0</v>
      </c>
      <c r="Q149" s="943">
        <f t="shared" si="43"/>
        <v>0</v>
      </c>
      <c r="R149" s="943">
        <f t="shared" si="49"/>
        <v>0</v>
      </c>
      <c r="S149" s="942"/>
    </row>
    <row r="150" spans="2:19">
      <c r="B150" s="1196">
        <f t="shared" si="44"/>
        <v>98</v>
      </c>
      <c r="D150" s="1201" t="s">
        <v>503</v>
      </c>
      <c r="E150" s="939">
        <v>31</v>
      </c>
      <c r="F150" s="940">
        <v>0</v>
      </c>
      <c r="G150" s="940">
        <f t="shared" si="45"/>
        <v>214</v>
      </c>
      <c r="H150" s="941">
        <f t="shared" si="41"/>
        <v>0.5</v>
      </c>
      <c r="I150" s="942"/>
      <c r="J150" s="939">
        <v>0</v>
      </c>
      <c r="K150" s="943">
        <f t="shared" si="42"/>
        <v>0</v>
      </c>
      <c r="L150" s="943">
        <f t="shared" si="46"/>
        <v>0</v>
      </c>
      <c r="M150" s="942"/>
      <c r="N150" s="939">
        <v>0</v>
      </c>
      <c r="O150" s="943">
        <f t="shared" si="47"/>
        <v>0</v>
      </c>
      <c r="P150" s="943">
        <f t="shared" si="48"/>
        <v>0</v>
      </c>
      <c r="Q150" s="943">
        <f t="shared" si="43"/>
        <v>0</v>
      </c>
      <c r="R150" s="943">
        <f t="shared" si="49"/>
        <v>0</v>
      </c>
      <c r="S150" s="942"/>
    </row>
    <row r="151" spans="2:19">
      <c r="B151" s="1196">
        <f t="shared" si="44"/>
        <v>99</v>
      </c>
      <c r="D151" s="1201" t="s">
        <v>504</v>
      </c>
      <c r="E151" s="939">
        <v>30</v>
      </c>
      <c r="F151" s="940">
        <f t="shared" ref="F151:F156" si="50">E152+F152</f>
        <v>185</v>
      </c>
      <c r="G151" s="940">
        <f t="shared" si="45"/>
        <v>214</v>
      </c>
      <c r="H151" s="941">
        <f t="shared" si="41"/>
        <v>0.86448598130841126</v>
      </c>
      <c r="I151" s="942"/>
      <c r="J151" s="939">
        <v>0</v>
      </c>
      <c r="K151" s="943">
        <f t="shared" si="42"/>
        <v>0</v>
      </c>
      <c r="L151" s="943">
        <f t="shared" si="46"/>
        <v>0</v>
      </c>
      <c r="M151" s="942"/>
      <c r="N151" s="939">
        <v>0</v>
      </c>
      <c r="O151" s="943">
        <f t="shared" si="47"/>
        <v>0</v>
      </c>
      <c r="P151" s="943">
        <f t="shared" si="48"/>
        <v>0</v>
      </c>
      <c r="Q151" s="943">
        <f t="shared" si="43"/>
        <v>0</v>
      </c>
      <c r="R151" s="943">
        <f t="shared" si="49"/>
        <v>0</v>
      </c>
      <c r="S151" s="942"/>
    </row>
    <row r="152" spans="2:19">
      <c r="B152" s="1196">
        <f t="shared" si="44"/>
        <v>100</v>
      </c>
      <c r="D152" s="1201" t="s">
        <v>1031</v>
      </c>
      <c r="E152" s="939">
        <v>31</v>
      </c>
      <c r="F152" s="940">
        <f t="shared" si="50"/>
        <v>154</v>
      </c>
      <c r="G152" s="940">
        <f t="shared" si="45"/>
        <v>214</v>
      </c>
      <c r="H152" s="941">
        <f t="shared" si="41"/>
        <v>0.71962616822429903</v>
      </c>
      <c r="I152" s="942"/>
      <c r="J152" s="939">
        <v>0</v>
      </c>
      <c r="K152" s="943">
        <f t="shared" si="42"/>
        <v>0</v>
      </c>
      <c r="L152" s="943">
        <f t="shared" si="46"/>
        <v>0</v>
      </c>
      <c r="M152" s="942"/>
      <c r="N152" s="939">
        <v>0</v>
      </c>
      <c r="O152" s="943">
        <f t="shared" si="47"/>
        <v>0</v>
      </c>
      <c r="P152" s="943">
        <f t="shared" si="48"/>
        <v>0</v>
      </c>
      <c r="Q152" s="943">
        <f t="shared" si="43"/>
        <v>0</v>
      </c>
      <c r="R152" s="943">
        <f t="shared" si="49"/>
        <v>0</v>
      </c>
      <c r="S152" s="942"/>
    </row>
    <row r="153" spans="2:19">
      <c r="B153" s="1196">
        <f t="shared" si="44"/>
        <v>101</v>
      </c>
      <c r="D153" s="1201" t="s">
        <v>1032</v>
      </c>
      <c r="E153" s="939">
        <v>31</v>
      </c>
      <c r="F153" s="940">
        <f t="shared" si="50"/>
        <v>123</v>
      </c>
      <c r="G153" s="940">
        <f t="shared" si="45"/>
        <v>214</v>
      </c>
      <c r="H153" s="941">
        <f t="shared" si="41"/>
        <v>0.57476635514018692</v>
      </c>
      <c r="I153" s="942"/>
      <c r="J153" s="939">
        <v>0</v>
      </c>
      <c r="K153" s="943">
        <f t="shared" si="42"/>
        <v>0</v>
      </c>
      <c r="L153" s="943">
        <f t="shared" si="46"/>
        <v>0</v>
      </c>
      <c r="M153" s="942"/>
      <c r="N153" s="939">
        <v>0</v>
      </c>
      <c r="O153" s="943">
        <f t="shared" si="47"/>
        <v>0</v>
      </c>
      <c r="P153" s="943">
        <f t="shared" si="48"/>
        <v>0</v>
      </c>
      <c r="Q153" s="943">
        <f t="shared" si="43"/>
        <v>0</v>
      </c>
      <c r="R153" s="943">
        <f t="shared" si="49"/>
        <v>0</v>
      </c>
      <c r="S153" s="942"/>
    </row>
    <row r="154" spans="2:19">
      <c r="B154" s="1196">
        <f t="shared" si="44"/>
        <v>102</v>
      </c>
      <c r="D154" s="1201" t="s">
        <v>1033</v>
      </c>
      <c r="E154" s="939">
        <v>30</v>
      </c>
      <c r="F154" s="940">
        <f t="shared" si="50"/>
        <v>93</v>
      </c>
      <c r="G154" s="940">
        <f t="shared" si="45"/>
        <v>214</v>
      </c>
      <c r="H154" s="941">
        <f t="shared" si="41"/>
        <v>0.43457943925233644</v>
      </c>
      <c r="I154" s="942"/>
      <c r="J154" s="939">
        <v>0</v>
      </c>
      <c r="K154" s="943">
        <f t="shared" si="42"/>
        <v>0</v>
      </c>
      <c r="L154" s="943">
        <f t="shared" si="46"/>
        <v>0</v>
      </c>
      <c r="M154" s="942"/>
      <c r="N154" s="939">
        <v>0</v>
      </c>
      <c r="O154" s="943">
        <f t="shared" si="47"/>
        <v>0</v>
      </c>
      <c r="P154" s="943">
        <f t="shared" si="48"/>
        <v>0</v>
      </c>
      <c r="Q154" s="943">
        <f t="shared" si="43"/>
        <v>0</v>
      </c>
      <c r="R154" s="943">
        <f t="shared" si="49"/>
        <v>0</v>
      </c>
      <c r="S154" s="942"/>
    </row>
    <row r="155" spans="2:19">
      <c r="B155" s="1196">
        <f t="shared" si="44"/>
        <v>103</v>
      </c>
      <c r="D155" s="1201" t="s">
        <v>1034</v>
      </c>
      <c r="E155" s="939">
        <v>31</v>
      </c>
      <c r="F155" s="940">
        <f t="shared" si="50"/>
        <v>62</v>
      </c>
      <c r="G155" s="940">
        <f t="shared" si="45"/>
        <v>214</v>
      </c>
      <c r="H155" s="941">
        <f t="shared" si="41"/>
        <v>0.28971962616822428</v>
      </c>
      <c r="I155" s="942"/>
      <c r="J155" s="939">
        <v>0</v>
      </c>
      <c r="K155" s="943">
        <f t="shared" si="42"/>
        <v>0</v>
      </c>
      <c r="L155" s="943">
        <f t="shared" si="46"/>
        <v>0</v>
      </c>
      <c r="M155" s="942"/>
      <c r="N155" s="939">
        <v>0</v>
      </c>
      <c r="O155" s="943">
        <f t="shared" si="47"/>
        <v>0</v>
      </c>
      <c r="P155" s="943">
        <f t="shared" si="48"/>
        <v>0</v>
      </c>
      <c r="Q155" s="943">
        <f t="shared" si="43"/>
        <v>0</v>
      </c>
      <c r="R155" s="943">
        <f t="shared" si="49"/>
        <v>0</v>
      </c>
      <c r="S155" s="942"/>
    </row>
    <row r="156" spans="2:19">
      <c r="B156" s="1196">
        <f t="shared" si="44"/>
        <v>104</v>
      </c>
      <c r="D156" s="1201" t="s">
        <v>1035</v>
      </c>
      <c r="E156" s="939">
        <v>30</v>
      </c>
      <c r="F156" s="940">
        <f t="shared" si="50"/>
        <v>32</v>
      </c>
      <c r="G156" s="940">
        <f t="shared" si="45"/>
        <v>214</v>
      </c>
      <c r="H156" s="941">
        <f t="shared" si="41"/>
        <v>0.14953271028037382</v>
      </c>
      <c r="I156" s="942"/>
      <c r="J156" s="939">
        <v>0</v>
      </c>
      <c r="K156" s="943">
        <f t="shared" si="42"/>
        <v>0</v>
      </c>
      <c r="L156" s="943">
        <f t="shared" si="46"/>
        <v>0</v>
      </c>
      <c r="M156" s="942"/>
      <c r="N156" s="939">
        <v>0</v>
      </c>
      <c r="O156" s="943">
        <f t="shared" si="47"/>
        <v>0</v>
      </c>
      <c r="P156" s="943">
        <f t="shared" si="48"/>
        <v>0</v>
      </c>
      <c r="Q156" s="943">
        <f t="shared" si="43"/>
        <v>0</v>
      </c>
      <c r="R156" s="943">
        <f t="shared" si="49"/>
        <v>0</v>
      </c>
      <c r="S156" s="942"/>
    </row>
    <row r="157" spans="2:19">
      <c r="B157" s="1196">
        <f t="shared" si="44"/>
        <v>105</v>
      </c>
      <c r="D157" s="1202" t="s">
        <v>1036</v>
      </c>
      <c r="E157" s="939">
        <v>31</v>
      </c>
      <c r="F157" s="944">
        <v>1</v>
      </c>
      <c r="G157" s="940">
        <f t="shared" si="45"/>
        <v>214</v>
      </c>
      <c r="H157" s="941">
        <f t="shared" si="41"/>
        <v>4.6728971962616819E-3</v>
      </c>
      <c r="I157" s="942"/>
      <c r="J157" s="939">
        <v>0</v>
      </c>
      <c r="K157" s="943">
        <f t="shared" si="42"/>
        <v>0</v>
      </c>
      <c r="L157" s="943">
        <f t="shared" si="46"/>
        <v>0</v>
      </c>
      <c r="M157" s="942"/>
      <c r="N157" s="939">
        <v>0</v>
      </c>
      <c r="O157" s="943">
        <f t="shared" si="47"/>
        <v>0</v>
      </c>
      <c r="P157" s="943">
        <f t="shared" si="48"/>
        <v>0</v>
      </c>
      <c r="Q157" s="943">
        <f t="shared" si="43"/>
        <v>0</v>
      </c>
      <c r="R157" s="943">
        <f t="shared" si="49"/>
        <v>0</v>
      </c>
      <c r="S157" s="942"/>
    </row>
    <row r="158" spans="2:19">
      <c r="B158" s="1196">
        <f t="shared" si="44"/>
        <v>106</v>
      </c>
      <c r="D158" s="1203" t="str">
        <f>"Total (Sum of Lines "&amp;B146&amp;" - "&amp;B157&amp;")"</f>
        <v>Total (Sum of Lines 94 - 105)</v>
      </c>
      <c r="E158" s="945">
        <f>SUM(E146:E157)</f>
        <v>365</v>
      </c>
      <c r="F158" s="1204"/>
      <c r="G158" s="1204"/>
      <c r="H158" s="1205"/>
      <c r="I158" s="946"/>
      <c r="J158" s="945">
        <f>SUM(J146:J157)</f>
        <v>0</v>
      </c>
      <c r="K158" s="945">
        <f>SUM(K146:K157)</f>
        <v>0</v>
      </c>
      <c r="L158" s="947"/>
      <c r="M158" s="946"/>
      <c r="N158" s="945">
        <f>SUM(N146:N157)</f>
        <v>0</v>
      </c>
      <c r="O158" s="945">
        <f>SUM(O146:O157)</f>
        <v>0</v>
      </c>
      <c r="P158" s="945">
        <f>SUM(P146:P157)</f>
        <v>0</v>
      </c>
      <c r="Q158" s="945">
        <f>SUM(Q146:Q157)</f>
        <v>0</v>
      </c>
      <c r="R158" s="947"/>
      <c r="S158" s="946"/>
    </row>
    <row r="159" spans="2:19">
      <c r="D159" s="1206"/>
      <c r="E159" s="1206"/>
      <c r="F159" s="1206"/>
      <c r="G159" s="1206"/>
      <c r="H159" s="1207"/>
      <c r="I159" s="1207"/>
      <c r="K159" s="1208"/>
      <c r="L159" s="1207"/>
      <c r="M159" s="1207"/>
      <c r="N159" s="1215"/>
      <c r="O159" s="1208"/>
      <c r="P159" s="1208"/>
      <c r="Q159" s="1208"/>
      <c r="R159" s="1207"/>
      <c r="S159" s="1207"/>
    </row>
    <row r="160" spans="2:19">
      <c r="B160" s="1196">
        <f>B158+1</f>
        <v>107</v>
      </c>
      <c r="D160" s="1190" t="s">
        <v>1058</v>
      </c>
      <c r="I160" s="1207"/>
      <c r="J160" s="948" t="s">
        <v>1566</v>
      </c>
      <c r="L160" s="939">
        <v>0</v>
      </c>
      <c r="M160" s="1209"/>
      <c r="N160" s="948" t="s">
        <v>1566</v>
      </c>
      <c r="R160" s="939">
        <v>0</v>
      </c>
    </row>
    <row r="161" spans="1:19">
      <c r="B161" s="1196">
        <f>B160+1</f>
        <v>108</v>
      </c>
      <c r="D161" s="1190" t="s">
        <v>1059</v>
      </c>
      <c r="I161" s="1207"/>
      <c r="J161" s="1210" t="s">
        <v>1039</v>
      </c>
      <c r="L161" s="949">
        <v>0</v>
      </c>
      <c r="M161" s="1211"/>
      <c r="N161" s="1210"/>
      <c r="R161" s="949">
        <v>0</v>
      </c>
    </row>
    <row r="162" spans="1:19">
      <c r="B162" s="1196">
        <f>B161+1</f>
        <v>109</v>
      </c>
      <c r="D162" s="1190" t="s">
        <v>1060</v>
      </c>
      <c r="I162" s="1207"/>
      <c r="J162" s="1203" t="str">
        <f>"(Col. "&amp;L141&amp;", Line "&amp;B160&amp;" + Line "&amp;B161&amp;")"</f>
        <v>(Col. (H), Line 107 + Line 108)</v>
      </c>
      <c r="L162" s="950">
        <f>L160+L161</f>
        <v>0</v>
      </c>
      <c r="M162" s="1207"/>
      <c r="N162" s="1203" t="str">
        <f>"(Col. "&amp;R141&amp;", Line "&amp;B160&amp;" + Line "&amp;B161&amp;")"</f>
        <v>(Col. (M), Line 107 + Line 108)</v>
      </c>
      <c r="R162" s="950">
        <f>R160+R161</f>
        <v>0</v>
      </c>
    </row>
    <row r="163" spans="1:19">
      <c r="I163" s="1207"/>
      <c r="L163" s="950"/>
      <c r="M163" s="1207"/>
      <c r="R163" s="950"/>
    </row>
    <row r="164" spans="1:19">
      <c r="B164" s="1196">
        <f>B162+1</f>
        <v>110</v>
      </c>
      <c r="D164" s="1190" t="s">
        <v>1061</v>
      </c>
      <c r="I164" s="1207"/>
      <c r="J164" s="948" t="s">
        <v>1595</v>
      </c>
      <c r="L164" s="939">
        <v>0</v>
      </c>
      <c r="M164" s="1209"/>
      <c r="N164" s="948" t="s">
        <v>1594</v>
      </c>
      <c r="R164" s="939">
        <v>0</v>
      </c>
    </row>
    <row r="165" spans="1:19">
      <c r="B165" s="1196">
        <f>B164+1</f>
        <v>111</v>
      </c>
      <c r="D165" s="1190" t="s">
        <v>1062</v>
      </c>
      <c r="I165" s="1207"/>
      <c r="J165" s="1210" t="s">
        <v>1039</v>
      </c>
      <c r="L165" s="949">
        <v>0</v>
      </c>
      <c r="M165" s="1207"/>
      <c r="N165" s="1210"/>
      <c r="R165" s="949">
        <v>0</v>
      </c>
    </row>
    <row r="166" spans="1:19">
      <c r="B166" s="1196">
        <f>B165+1</f>
        <v>112</v>
      </c>
      <c r="D166" s="1190" t="s">
        <v>1063</v>
      </c>
      <c r="I166" s="1207"/>
      <c r="J166" s="1203" t="str">
        <f>"(Col. "&amp;L141&amp;", Line "&amp;B164&amp;" + Line "&amp;B165&amp;")"</f>
        <v>(Col. (H), Line 110 + Line 111)</v>
      </c>
      <c r="L166" s="950">
        <f>L164+L165</f>
        <v>0</v>
      </c>
      <c r="M166" s="1207"/>
      <c r="N166" s="1203" t="str">
        <f>"(Col. "&amp;R141&amp;", Line "&amp;B164&amp;" + Line "&amp;B165&amp;")"</f>
        <v>(Col. (M), Line 110 + Line 111)</v>
      </c>
      <c r="R166" s="950">
        <f>R164+R165</f>
        <v>0</v>
      </c>
    </row>
    <row r="167" spans="1:19">
      <c r="I167" s="1207"/>
      <c r="L167" s="950"/>
      <c r="M167" s="1207"/>
      <c r="R167" s="950"/>
    </row>
    <row r="168" spans="1:19">
      <c r="B168" s="1196">
        <f>B166+1</f>
        <v>113</v>
      </c>
      <c r="D168" s="1190" t="s">
        <v>1044</v>
      </c>
      <c r="I168" s="1207"/>
      <c r="J168" s="1203" t="str">
        <f>"([Col. "&amp;L141&amp;", Line "&amp;B162&amp;" + Line "&amp;B166&amp;"] /2)"</f>
        <v>([Col. (H), Line 109 + Line 112] /2)</v>
      </c>
      <c r="L168" s="943">
        <f>(L162+L166)/2</f>
        <v>0</v>
      </c>
      <c r="M168" s="1207"/>
      <c r="N168" s="1203" t="str">
        <f>"([Col. "&amp;R141&amp;", Line "&amp;B162&amp;" + Line "&amp;B166&amp;"] /2)"</f>
        <v>([Col. (M), Line 109 + Line 112] /2)</v>
      </c>
      <c r="R168" s="943">
        <f>(R162+R166)/2</f>
        <v>0</v>
      </c>
    </row>
    <row r="169" spans="1:19">
      <c r="B169" s="1196">
        <f>B168+1</f>
        <v>114</v>
      </c>
      <c r="D169" s="1206" t="s">
        <v>1064</v>
      </c>
      <c r="E169" s="1206"/>
      <c r="F169" s="1206"/>
      <c r="G169" s="1206"/>
      <c r="H169" s="1207"/>
      <c r="I169" s="1207"/>
      <c r="J169" s="1203" t="str">
        <f>"(Col. "&amp;L141&amp;", Line "&amp;B157&amp;" )"</f>
        <v>(Col. (H), Line 105 )</v>
      </c>
      <c r="K169" s="1208"/>
      <c r="L169" s="943">
        <f>L157</f>
        <v>0</v>
      </c>
      <c r="M169" s="1207"/>
      <c r="N169" s="1203" t="str">
        <f>"(Col. "&amp;R141&amp;", Line "&amp;B157&amp;" )"</f>
        <v>(Col. (M), Line 105 )</v>
      </c>
      <c r="R169" s="943">
        <f>R157</f>
        <v>0</v>
      </c>
    </row>
    <row r="170" spans="1:19" ht="13.5" thickBot="1">
      <c r="B170" s="1196">
        <f>B169+1</f>
        <v>115</v>
      </c>
      <c r="D170" s="1212" t="s">
        <v>1290</v>
      </c>
      <c r="E170" s="1206"/>
      <c r="F170" s="1206"/>
      <c r="G170" s="1206"/>
      <c r="H170" s="1207"/>
      <c r="I170" s="1207"/>
      <c r="J170" s="1203" t="str">
        <f>"(Col. "&amp;L141&amp;", Line "&amp;B168&amp;" + Line "&amp;B169&amp;")"</f>
        <v>(Col. (H), Line 113 + Line 114)</v>
      </c>
      <c r="K170" s="1208"/>
      <c r="L170" s="951">
        <f>L168+L169</f>
        <v>0</v>
      </c>
      <c r="M170" s="1207"/>
      <c r="N170" s="1203" t="str">
        <f>"(Col. "&amp;R141&amp;", Line "&amp;B168&amp;" + Line "&amp;B169&amp;")"</f>
        <v>(Col. (M), Line 113 + Line 114)</v>
      </c>
      <c r="R170" s="951">
        <f>R168+R169</f>
        <v>0</v>
      </c>
    </row>
    <row r="171" spans="1:19">
      <c r="D171" s="1206"/>
      <c r="E171" s="1206"/>
      <c r="F171" s="1206"/>
      <c r="G171" s="1206"/>
      <c r="H171" s="1207"/>
      <c r="I171" s="1207"/>
      <c r="K171" s="1208"/>
      <c r="L171" s="1207"/>
      <c r="M171" s="1207"/>
      <c r="O171" s="1208"/>
      <c r="P171" s="1208"/>
      <c r="Q171" s="1208"/>
      <c r="R171" s="1207"/>
      <c r="S171" s="1207"/>
    </row>
    <row r="172" spans="1:19" ht="13">
      <c r="A172" s="1217"/>
      <c r="B172" s="1218" t="s">
        <v>791</v>
      </c>
      <c r="C172" s="1217"/>
      <c r="D172" s="1217"/>
      <c r="E172" s="1217"/>
      <c r="F172" s="1217"/>
      <c r="G172" s="1217"/>
      <c r="H172" s="1217"/>
      <c r="I172" s="1217"/>
      <c r="J172" s="1217"/>
      <c r="K172" s="1217"/>
      <c r="L172" s="1217"/>
      <c r="M172" s="1217"/>
      <c r="N172" s="1217"/>
      <c r="O172" s="1217"/>
      <c r="P172" s="1217"/>
      <c r="Q172" s="1217"/>
      <c r="R172" s="1217"/>
      <c r="S172" s="1217"/>
    </row>
    <row r="174" spans="1:19" ht="12.75" customHeight="1">
      <c r="B174" s="1523" t="s">
        <v>1065</v>
      </c>
      <c r="C174" s="1523"/>
      <c r="D174" s="1523"/>
      <c r="E174" s="1523"/>
      <c r="F174" s="1523"/>
      <c r="G174" s="1523"/>
      <c r="H174" s="1523"/>
      <c r="I174" s="1523"/>
      <c r="J174" s="1523"/>
      <c r="K174" s="1523"/>
      <c r="L174" s="1523"/>
      <c r="M174" s="1207"/>
      <c r="O174" s="1208"/>
      <c r="P174" s="1208"/>
      <c r="Q174" s="1208"/>
      <c r="R174" s="1207"/>
      <c r="S174" s="1207"/>
    </row>
    <row r="175" spans="1:19">
      <c r="B175" s="1523"/>
      <c r="C175" s="1523"/>
      <c r="D175" s="1523"/>
      <c r="E175" s="1523"/>
      <c r="F175" s="1523"/>
      <c r="G175" s="1523"/>
      <c r="H175" s="1523"/>
      <c r="I175" s="1523"/>
      <c r="J175" s="1523"/>
      <c r="K175" s="1523"/>
      <c r="L175" s="1523"/>
      <c r="M175" s="1207"/>
      <c r="O175" s="1208"/>
      <c r="P175" s="1208"/>
      <c r="Q175" s="1208"/>
      <c r="R175" s="1207"/>
      <c r="S175" s="1207"/>
    </row>
    <row r="176" spans="1:19">
      <c r="D176" s="1206"/>
      <c r="E176" s="1206"/>
      <c r="F176" s="1206"/>
      <c r="G176" s="1206"/>
      <c r="H176" s="1207"/>
      <c r="I176" s="1207"/>
      <c r="K176" s="1208"/>
      <c r="L176" s="1207"/>
      <c r="M176" s="1207"/>
      <c r="O176" s="1208"/>
      <c r="P176" s="1208"/>
      <c r="Q176" s="1208"/>
      <c r="R176" s="1207"/>
      <c r="S176" s="1207"/>
    </row>
    <row r="177" spans="1:19" ht="13">
      <c r="B177" s="1191" t="s">
        <v>1066</v>
      </c>
      <c r="D177" s="1219" t="s">
        <v>1562</v>
      </c>
      <c r="E177" s="1220" t="str">
        <f>IF(D177="Projected Activity","Check",IF(D177="True-Up Adjustment","Check","Error"))</f>
        <v>Check</v>
      </c>
      <c r="F177" s="1207"/>
      <c r="G177" s="1207"/>
      <c r="H177" s="1207"/>
      <c r="I177" s="1207"/>
      <c r="K177" s="1208"/>
      <c r="L177" s="1207"/>
      <c r="M177" s="1207"/>
      <c r="O177" s="1208"/>
      <c r="P177" s="1208"/>
      <c r="Q177" s="1208"/>
      <c r="R177" s="1207"/>
      <c r="S177" s="1207"/>
    </row>
    <row r="178" spans="1:19">
      <c r="D178" s="1206"/>
      <c r="E178" s="1206"/>
      <c r="F178" s="1206"/>
      <c r="G178" s="1206"/>
      <c r="H178" s="1207"/>
      <c r="I178" s="1207"/>
      <c r="K178" s="1208"/>
      <c r="L178" s="1207"/>
      <c r="M178" s="1207"/>
      <c r="O178" s="1208"/>
      <c r="P178" s="1208"/>
      <c r="Q178" s="1208"/>
      <c r="R178" s="1207"/>
      <c r="S178" s="1207"/>
    </row>
    <row r="179" spans="1:19">
      <c r="B179" s="1524" t="s">
        <v>1067</v>
      </c>
      <c r="C179" s="1524"/>
      <c r="D179" s="1524"/>
      <c r="E179" s="1524"/>
      <c r="F179" s="1524"/>
      <c r="G179" s="1524"/>
      <c r="H179" s="1524"/>
      <c r="I179" s="1524"/>
      <c r="J179" s="1524"/>
      <c r="K179" s="1524"/>
      <c r="L179" s="1524"/>
      <c r="M179" s="1207"/>
      <c r="O179" s="1208"/>
      <c r="P179" s="1208"/>
      <c r="Q179" s="1208"/>
      <c r="R179" s="1207"/>
      <c r="S179" s="1207"/>
    </row>
    <row r="180" spans="1:19">
      <c r="B180" s="1524"/>
      <c r="C180" s="1524"/>
      <c r="D180" s="1524"/>
      <c r="E180" s="1524"/>
      <c r="F180" s="1524"/>
      <c r="G180" s="1524"/>
      <c r="H180" s="1524"/>
      <c r="I180" s="1524"/>
      <c r="J180" s="1524"/>
      <c r="K180" s="1524"/>
      <c r="L180" s="1524"/>
      <c r="M180" s="1207"/>
      <c r="O180" s="1208"/>
      <c r="P180" s="1208"/>
      <c r="Q180" s="1208"/>
      <c r="R180" s="1207"/>
      <c r="S180" s="1207"/>
    </row>
    <row r="181" spans="1:19">
      <c r="D181" s="1206"/>
      <c r="E181" s="1206"/>
      <c r="F181" s="1206"/>
      <c r="G181" s="1206"/>
      <c r="H181" s="1207"/>
      <c r="I181" s="1207"/>
      <c r="K181" s="1208"/>
      <c r="L181" s="1207"/>
      <c r="M181" s="1207"/>
      <c r="O181" s="1208"/>
      <c r="P181" s="1208"/>
      <c r="Q181" s="1208"/>
      <c r="R181" s="1207"/>
      <c r="S181" s="1207"/>
    </row>
    <row r="182" spans="1:19" ht="13">
      <c r="A182" s="1217"/>
      <c r="B182" s="1218" t="s">
        <v>839</v>
      </c>
      <c r="C182" s="1217"/>
      <c r="D182" s="1217"/>
      <c r="E182" s="1217"/>
      <c r="F182" s="1217"/>
      <c r="G182" s="1217"/>
      <c r="H182" s="1217"/>
      <c r="I182" s="1217"/>
      <c r="J182" s="1217"/>
      <c r="K182" s="1217"/>
      <c r="L182" s="1217"/>
      <c r="M182" s="1217"/>
      <c r="N182" s="1217"/>
      <c r="O182" s="1217"/>
      <c r="P182" s="1217"/>
      <c r="Q182" s="1217"/>
      <c r="R182" s="1217"/>
      <c r="S182" s="1217"/>
    </row>
    <row r="184" spans="1:19" ht="15.75" customHeight="1">
      <c r="A184" s="1189"/>
      <c r="B184" s="1191" t="s">
        <v>156</v>
      </c>
      <c r="C184" s="1523" t="s">
        <v>1068</v>
      </c>
      <c r="D184" s="1523"/>
      <c r="E184" s="1523"/>
      <c r="F184" s="1523"/>
      <c r="G184" s="1523"/>
      <c r="H184" s="1523"/>
      <c r="I184" s="1523"/>
      <c r="J184" s="1523"/>
      <c r="K184" s="1523"/>
      <c r="L184" s="1523"/>
    </row>
    <row r="185" spans="1:19" ht="13">
      <c r="A185" s="1189"/>
      <c r="B185" s="1191"/>
      <c r="C185" s="1523"/>
      <c r="D185" s="1523"/>
      <c r="E185" s="1523"/>
      <c r="F185" s="1523"/>
      <c r="G185" s="1523"/>
      <c r="H185" s="1523"/>
      <c r="I185" s="1523"/>
      <c r="J185" s="1523"/>
      <c r="K185" s="1523"/>
      <c r="L185" s="1523"/>
    </row>
    <row r="186" spans="1:19">
      <c r="C186" s="1523"/>
      <c r="D186" s="1523"/>
      <c r="E186" s="1523"/>
      <c r="F186" s="1523"/>
      <c r="G186" s="1523"/>
      <c r="H186" s="1523"/>
      <c r="I186" s="1523"/>
      <c r="J186" s="1523"/>
      <c r="K186" s="1523"/>
      <c r="L186" s="1523"/>
    </row>
    <row r="187" spans="1:19">
      <c r="C187" s="1523"/>
      <c r="D187" s="1523"/>
      <c r="E187" s="1523"/>
      <c r="F187" s="1523"/>
      <c r="G187" s="1523"/>
      <c r="H187" s="1523"/>
      <c r="I187" s="1523"/>
      <c r="J187" s="1523"/>
      <c r="K187" s="1523"/>
      <c r="L187" s="1523"/>
    </row>
    <row r="188" spans="1:19" ht="15.75" customHeight="1">
      <c r="A188" s="1189"/>
      <c r="B188" s="1191" t="s">
        <v>293</v>
      </c>
      <c r="C188" s="1523" t="s">
        <v>1069</v>
      </c>
      <c r="D188" s="1523"/>
      <c r="E188" s="1523"/>
      <c r="F188" s="1523"/>
      <c r="G188" s="1523"/>
      <c r="H188" s="1523"/>
      <c r="I188" s="1523"/>
      <c r="J188" s="1523"/>
      <c r="K188" s="1523"/>
      <c r="L188" s="1523"/>
    </row>
    <row r="189" spans="1:19" ht="13">
      <c r="A189" s="1189"/>
      <c r="B189" s="1191"/>
      <c r="C189" s="1523"/>
      <c r="D189" s="1523"/>
      <c r="E189" s="1523"/>
      <c r="F189" s="1523"/>
      <c r="G189" s="1523"/>
      <c r="H189" s="1523"/>
      <c r="I189" s="1523"/>
      <c r="J189" s="1523"/>
      <c r="K189" s="1523"/>
      <c r="L189" s="1523"/>
    </row>
    <row r="190" spans="1:19" ht="13">
      <c r="A190" s="1189"/>
      <c r="B190" s="1191"/>
      <c r="C190" s="1523"/>
      <c r="D190" s="1523"/>
      <c r="E190" s="1523"/>
      <c r="F190" s="1523"/>
      <c r="G190" s="1523"/>
      <c r="H190" s="1523"/>
      <c r="I190" s="1523"/>
      <c r="J190" s="1523"/>
      <c r="K190" s="1523"/>
      <c r="L190" s="1523"/>
    </row>
    <row r="191" spans="1:19" ht="13">
      <c r="A191" s="1189"/>
      <c r="B191" s="1191"/>
      <c r="C191" s="1523"/>
      <c r="D191" s="1523"/>
      <c r="E191" s="1523"/>
      <c r="F191" s="1523"/>
      <c r="G191" s="1523"/>
      <c r="H191" s="1523"/>
      <c r="I191" s="1523"/>
      <c r="J191" s="1523"/>
      <c r="K191" s="1523"/>
      <c r="L191" s="1523"/>
    </row>
    <row r="192" spans="1:19" ht="13">
      <c r="A192" s="1189"/>
      <c r="B192" s="1191"/>
      <c r="C192" s="1523"/>
      <c r="D192" s="1523"/>
      <c r="E192" s="1523"/>
      <c r="F192" s="1523"/>
      <c r="G192" s="1523"/>
      <c r="H192" s="1523"/>
      <c r="I192" s="1523"/>
      <c r="J192" s="1523"/>
      <c r="K192" s="1523"/>
      <c r="L192" s="1523"/>
    </row>
    <row r="193" spans="1:12">
      <c r="C193" s="1523"/>
      <c r="D193" s="1523"/>
      <c r="E193" s="1523"/>
      <c r="F193" s="1523"/>
      <c r="G193" s="1523"/>
      <c r="H193" s="1523"/>
      <c r="I193" s="1523"/>
      <c r="J193" s="1523"/>
      <c r="K193" s="1523"/>
      <c r="L193" s="1523"/>
    </row>
    <row r="194" spans="1:12">
      <c r="C194" s="1523"/>
      <c r="D194" s="1523"/>
      <c r="E194" s="1523"/>
      <c r="F194" s="1523"/>
      <c r="G194" s="1523"/>
      <c r="H194" s="1523"/>
      <c r="I194" s="1523"/>
      <c r="J194" s="1523"/>
      <c r="K194" s="1523"/>
      <c r="L194" s="1523"/>
    </row>
    <row r="195" spans="1:12" ht="15.75" customHeight="1">
      <c r="A195" s="1189"/>
      <c r="B195" s="1191" t="s">
        <v>133</v>
      </c>
      <c r="C195" s="1523" t="s">
        <v>1070</v>
      </c>
      <c r="D195" s="1523"/>
      <c r="E195" s="1523"/>
      <c r="F195" s="1523"/>
      <c r="G195" s="1523"/>
      <c r="H195" s="1523"/>
      <c r="I195" s="1523"/>
      <c r="J195" s="1523"/>
      <c r="K195" s="1523"/>
      <c r="L195" s="1523"/>
    </row>
    <row r="196" spans="1:12" ht="13">
      <c r="A196" s="1189"/>
      <c r="B196" s="1191"/>
      <c r="C196" s="1523"/>
      <c r="D196" s="1523"/>
      <c r="E196" s="1523"/>
      <c r="F196" s="1523"/>
      <c r="G196" s="1523"/>
      <c r="H196" s="1523"/>
      <c r="I196" s="1523"/>
      <c r="J196" s="1523"/>
      <c r="K196" s="1523"/>
      <c r="L196" s="1523"/>
    </row>
    <row r="197" spans="1:12" ht="13">
      <c r="A197" s="1189"/>
      <c r="B197" s="1191"/>
      <c r="C197" s="1523"/>
      <c r="D197" s="1523"/>
      <c r="E197" s="1523"/>
      <c r="F197" s="1523"/>
      <c r="G197" s="1523"/>
      <c r="H197" s="1523"/>
      <c r="I197" s="1523"/>
      <c r="J197" s="1523"/>
      <c r="K197" s="1523"/>
      <c r="L197" s="1523"/>
    </row>
    <row r="198" spans="1:12" ht="13">
      <c r="A198" s="1189"/>
      <c r="B198" s="1191"/>
      <c r="C198" s="1523"/>
      <c r="D198" s="1523"/>
      <c r="E198" s="1523"/>
      <c r="F198" s="1523"/>
      <c r="G198" s="1523"/>
      <c r="H198" s="1523"/>
      <c r="I198" s="1523"/>
      <c r="J198" s="1523"/>
      <c r="K198" s="1523"/>
      <c r="L198" s="1523"/>
    </row>
    <row r="199" spans="1:12" ht="15.75" customHeight="1">
      <c r="A199" s="1189"/>
      <c r="B199" s="1191" t="s">
        <v>157</v>
      </c>
      <c r="C199" s="1523" t="s">
        <v>1071</v>
      </c>
      <c r="D199" s="1523"/>
      <c r="E199" s="1523"/>
      <c r="F199" s="1523"/>
      <c r="G199" s="1523"/>
      <c r="H199" s="1523"/>
      <c r="I199" s="1523"/>
      <c r="J199" s="1523"/>
      <c r="K199" s="1523"/>
      <c r="L199" s="1523"/>
    </row>
    <row r="200" spans="1:12" ht="15.75" customHeight="1">
      <c r="C200" s="1523"/>
      <c r="D200" s="1523"/>
      <c r="E200" s="1523"/>
      <c r="F200" s="1523"/>
      <c r="G200" s="1523"/>
      <c r="H200" s="1523"/>
      <c r="I200" s="1523"/>
      <c r="J200" s="1523"/>
      <c r="K200" s="1523"/>
      <c r="L200" s="1523"/>
    </row>
    <row r="201" spans="1:12" ht="15.75" customHeight="1">
      <c r="A201" s="1189"/>
      <c r="B201" s="1191" t="s">
        <v>155</v>
      </c>
      <c r="C201" s="1523" t="s">
        <v>1072</v>
      </c>
      <c r="D201" s="1523"/>
      <c r="E201" s="1523"/>
      <c r="F201" s="1523"/>
      <c r="G201" s="1523"/>
      <c r="H201" s="1523"/>
      <c r="I201" s="1523"/>
      <c r="J201" s="1523"/>
      <c r="K201" s="1523"/>
      <c r="L201" s="1523"/>
    </row>
    <row r="202" spans="1:12" ht="15.75" customHeight="1">
      <c r="C202" s="1523"/>
      <c r="D202" s="1523"/>
      <c r="E202" s="1523"/>
      <c r="F202" s="1523"/>
      <c r="G202" s="1523"/>
      <c r="H202" s="1523"/>
      <c r="I202" s="1523"/>
      <c r="J202" s="1523"/>
      <c r="K202" s="1523"/>
      <c r="L202" s="1523"/>
    </row>
    <row r="203" spans="1:12" ht="15.75" customHeight="1">
      <c r="A203" s="1189"/>
      <c r="B203" s="1191" t="s">
        <v>487</v>
      </c>
      <c r="C203" s="1525" t="s">
        <v>1073</v>
      </c>
      <c r="D203" s="1525"/>
      <c r="E203" s="1525"/>
      <c r="F203" s="1525"/>
      <c r="G203" s="1525"/>
      <c r="H203" s="1525"/>
      <c r="I203" s="1525"/>
      <c r="J203" s="1525"/>
      <c r="K203" s="1525"/>
      <c r="L203" s="1525"/>
    </row>
    <row r="204" spans="1:12">
      <c r="C204" s="1525"/>
      <c r="D204" s="1525"/>
      <c r="E204" s="1525"/>
      <c r="F204" s="1525"/>
      <c r="G204" s="1525"/>
      <c r="H204" s="1525"/>
      <c r="I204" s="1525"/>
      <c r="J204" s="1525"/>
      <c r="K204" s="1525"/>
      <c r="L204" s="1525"/>
    </row>
  </sheetData>
  <mergeCells count="32">
    <mergeCell ref="C188:L194"/>
    <mergeCell ref="C195:L198"/>
    <mergeCell ref="C199:L200"/>
    <mergeCell ref="C201:L202"/>
    <mergeCell ref="C203:L20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D41:H41"/>
    <mergeCell ref="J41:L41"/>
    <mergeCell ref="N41:R41"/>
    <mergeCell ref="D74:H74"/>
    <mergeCell ref="J74:L74"/>
    <mergeCell ref="N74:R74"/>
    <mergeCell ref="D8:H8"/>
    <mergeCell ref="J8:L8"/>
    <mergeCell ref="N8:R8"/>
    <mergeCell ref="A1:R1"/>
    <mergeCell ref="A2:R2"/>
    <mergeCell ref="A3:R3"/>
    <mergeCell ref="J7:L7"/>
    <mergeCell ref="N7:R7"/>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EF3DB-DE29-4F6F-8469-6108186230BE}">
  <sheetPr>
    <pageSetUpPr fitToPage="1"/>
  </sheetPr>
  <dimension ref="A1:M103"/>
  <sheetViews>
    <sheetView zoomScale="106" zoomScaleNormal="106" workbookViewId="0">
      <selection activeCell="B11" sqref="B11"/>
    </sheetView>
  </sheetViews>
  <sheetFormatPr defaultColWidth="9.1796875" defaultRowHeight="15.5"/>
  <cols>
    <col min="1" max="1" width="6.1796875" style="1122" customWidth="1"/>
    <col min="2" max="2" width="79.7265625" style="1122" customWidth="1"/>
    <col min="3" max="6" width="15" style="1122" customWidth="1"/>
    <col min="7" max="7" width="14.1796875" style="1122" bestFit="1" customWidth="1"/>
    <col min="8" max="8" width="9.1796875" style="1122"/>
    <col min="9" max="9" width="17.7265625" style="1122" bestFit="1" customWidth="1"/>
    <col min="10" max="10" width="16" style="1122" bestFit="1" customWidth="1"/>
    <col min="11" max="11" width="9.1796875" style="1122"/>
    <col min="12" max="12" width="11.453125" style="1122" bestFit="1" customWidth="1"/>
    <col min="13" max="13" width="17.54296875" style="1122" customWidth="1"/>
    <col min="14" max="16384" width="9.1796875" style="1122"/>
  </cols>
  <sheetData>
    <row r="1" spans="1:13" ht="18">
      <c r="A1" s="1678" t="s">
        <v>686</v>
      </c>
      <c r="B1" s="1678"/>
      <c r="C1" s="1678"/>
      <c r="D1" s="1678"/>
      <c r="E1" s="1678"/>
      <c r="I1" s="1151"/>
    </row>
    <row r="2" spans="1:13" ht="20">
      <c r="A2" s="1132"/>
      <c r="B2" s="1131"/>
      <c r="C2" s="1130"/>
    </row>
    <row r="3" spans="1:13">
      <c r="A3" s="1679" t="s">
        <v>1256</v>
      </c>
      <c r="B3" s="1679"/>
      <c r="C3" s="1679"/>
      <c r="D3" s="1679"/>
      <c r="E3" s="1679"/>
    </row>
    <row r="4" spans="1:13">
      <c r="B4" s="1129" t="s">
        <v>1190</v>
      </c>
      <c r="C4" s="1129" t="s">
        <v>1184</v>
      </c>
      <c r="D4" s="1129" t="s">
        <v>1183</v>
      </c>
      <c r="E4" s="1129" t="s">
        <v>1182</v>
      </c>
      <c r="F4" s="1129" t="s">
        <v>1255</v>
      </c>
      <c r="G4" s="1129" t="s">
        <v>1254</v>
      </c>
      <c r="H4" s="1150"/>
      <c r="I4" s="1129"/>
      <c r="J4" s="1129"/>
      <c r="K4" s="1129"/>
      <c r="L4" s="1129"/>
      <c r="M4" s="1129"/>
    </row>
    <row r="5" spans="1:13">
      <c r="B5" s="1125" t="s">
        <v>1266</v>
      </c>
    </row>
    <row r="6" spans="1:13">
      <c r="B6" s="1086" t="s">
        <v>1263</v>
      </c>
      <c r="C6" s="1143" t="s">
        <v>292</v>
      </c>
      <c r="D6" s="1143" t="s">
        <v>1262</v>
      </c>
      <c r="E6" s="1149"/>
      <c r="F6" s="1149"/>
      <c r="G6" s="1124" t="s">
        <v>292</v>
      </c>
    </row>
    <row r="7" spans="1:13">
      <c r="A7" s="1124">
        <v>1</v>
      </c>
      <c r="B7" s="1141" t="s">
        <v>1265</v>
      </c>
      <c r="C7" s="1148">
        <v>0</v>
      </c>
      <c r="D7" s="1140">
        <v>1</v>
      </c>
      <c r="E7" s="1146"/>
      <c r="F7" s="1146"/>
      <c r="G7" s="1127">
        <f>+C7*D7</f>
        <v>0</v>
      </c>
      <c r="H7" s="1124"/>
    </row>
    <row r="8" spans="1:13">
      <c r="A8" s="1124">
        <v>2</v>
      </c>
      <c r="B8" s="1141" t="s">
        <v>8</v>
      </c>
      <c r="C8" s="1123">
        <v>615009.97</v>
      </c>
      <c r="D8" s="1140">
        <f>+'ATT H-2A'!H20</f>
        <v>0.13143233299925774</v>
      </c>
      <c r="E8" s="1146"/>
      <c r="F8" s="1146"/>
      <c r="G8" s="1127">
        <f>+C8*D8</f>
        <v>80832.195174903507</v>
      </c>
      <c r="H8" s="1124"/>
    </row>
    <row r="9" spans="1:13">
      <c r="A9" s="1124">
        <v>3</v>
      </c>
      <c r="B9" s="1141"/>
      <c r="C9" s="1147"/>
      <c r="D9" s="1146"/>
      <c r="E9" s="1146"/>
      <c r="F9" s="1146"/>
      <c r="G9" s="1127">
        <f>+C9*D9</f>
        <v>0</v>
      </c>
      <c r="H9" s="1124"/>
    </row>
    <row r="10" spans="1:13">
      <c r="A10" s="1124">
        <v>4</v>
      </c>
      <c r="B10" s="1086" t="s">
        <v>292</v>
      </c>
      <c r="C10" s="1127">
        <f>SUM(C7:C9)</f>
        <v>615009.97</v>
      </c>
      <c r="D10" s="1127"/>
      <c r="E10" s="1127"/>
      <c r="F10" s="1127"/>
      <c r="G10" s="1127">
        <f>SUM(G7:G9)</f>
        <v>80832.195174903507</v>
      </c>
      <c r="H10" s="1124"/>
      <c r="L10" s="1145"/>
    </row>
    <row r="11" spans="1:13">
      <c r="A11" s="1124">
        <v>5</v>
      </c>
      <c r="B11" s="1144"/>
      <c r="C11" s="1144"/>
      <c r="D11" s="1144"/>
      <c r="E11" s="1144"/>
      <c r="F11" s="1144"/>
      <c r="G11" s="1144"/>
      <c r="H11" s="1124"/>
      <c r="L11" s="1145"/>
    </row>
    <row r="12" spans="1:13">
      <c r="A12" s="1124">
        <v>6</v>
      </c>
      <c r="B12" s="1125" t="s">
        <v>1264</v>
      </c>
      <c r="C12" s="1144"/>
      <c r="D12" s="1144"/>
      <c r="E12" s="1144"/>
      <c r="F12" s="1144"/>
      <c r="G12" s="1144"/>
      <c r="H12" s="1124"/>
    </row>
    <row r="13" spans="1:13">
      <c r="A13" s="1124">
        <v>7</v>
      </c>
      <c r="B13" s="1086" t="s">
        <v>1263</v>
      </c>
      <c r="C13" s="1143" t="s">
        <v>292</v>
      </c>
      <c r="D13" s="1143" t="s">
        <v>1262</v>
      </c>
      <c r="E13" s="1142"/>
      <c r="F13" s="1142"/>
      <c r="G13" s="1124" t="s">
        <v>292</v>
      </c>
      <c r="H13" s="1124"/>
    </row>
    <row r="14" spans="1:13">
      <c r="A14" s="1124">
        <v>8</v>
      </c>
      <c r="B14" s="1141" t="s">
        <v>1261</v>
      </c>
      <c r="C14" s="1123">
        <f>+C86</f>
        <v>0</v>
      </c>
      <c r="D14" s="1140">
        <f>+'ATT H-2A'!H20</f>
        <v>0.13143233299925774</v>
      </c>
      <c r="E14" s="1139"/>
      <c r="F14" s="1139"/>
      <c r="G14" s="1138">
        <f>+C14*D14</f>
        <v>0</v>
      </c>
      <c r="H14" s="1124"/>
    </row>
    <row r="15" spans="1:13">
      <c r="A15" s="1124">
        <v>9</v>
      </c>
      <c r="B15" s="1141" t="s">
        <v>1260</v>
      </c>
      <c r="C15" s="1123">
        <f>+D86</f>
        <v>0</v>
      </c>
      <c r="D15" s="1140">
        <f>+'ATT H-2A'!H20</f>
        <v>0.13143233299925774</v>
      </c>
      <c r="E15" s="1139"/>
      <c r="F15" s="1139"/>
      <c r="G15" s="1138">
        <f>+C15*D15</f>
        <v>0</v>
      </c>
      <c r="H15" s="1124"/>
    </row>
    <row r="16" spans="1:13">
      <c r="A16" s="1124">
        <v>10</v>
      </c>
      <c r="B16" s="1141" t="s">
        <v>1259</v>
      </c>
      <c r="C16" s="1123">
        <f>E86</f>
        <v>140627.05252000003</v>
      </c>
      <c r="D16" s="1140">
        <f>+'ATT H-2A'!H20</f>
        <v>0.13143233299925774</v>
      </c>
      <c r="E16" s="1139"/>
      <c r="F16" s="1139"/>
      <c r="G16" s="1138">
        <f>+C16*D16</f>
        <v>18482.941595512752</v>
      </c>
      <c r="H16" s="1124"/>
    </row>
    <row r="17" spans="1:13">
      <c r="A17" s="1124">
        <v>11</v>
      </c>
      <c r="B17" s="1086" t="s">
        <v>292</v>
      </c>
      <c r="C17" s="1127">
        <f>SUM(C14:C16)</f>
        <v>140627.05252000003</v>
      </c>
      <c r="D17" s="1138"/>
      <c r="E17" s="1138"/>
      <c r="F17" s="1138"/>
      <c r="G17" s="1138">
        <f>SUM(G14:G16)</f>
        <v>18482.941595512752</v>
      </c>
      <c r="H17" s="1124"/>
    </row>
    <row r="18" spans="1:13">
      <c r="A18" s="1137"/>
      <c r="B18" s="1086"/>
      <c r="C18" s="1127"/>
      <c r="D18" s="1127"/>
      <c r="E18" s="1127"/>
      <c r="F18" s="1127"/>
      <c r="G18" s="1127"/>
      <c r="H18" s="1124"/>
    </row>
    <row r="19" spans="1:13">
      <c r="A19" s="1136"/>
      <c r="B19" s="1125" t="s">
        <v>1258</v>
      </c>
      <c r="C19" s="1128" t="s">
        <v>1252</v>
      </c>
      <c r="D19" s="1128" t="s">
        <v>1214</v>
      </c>
      <c r="E19" s="1128" t="s">
        <v>1213</v>
      </c>
      <c r="H19" s="1124"/>
    </row>
    <row r="20" spans="1:13">
      <c r="B20" s="1125" t="s">
        <v>1257</v>
      </c>
      <c r="C20" s="1086"/>
      <c r="D20" s="1086"/>
      <c r="E20" s="1086"/>
      <c r="F20" s="1086"/>
      <c r="G20" s="1124" t="s">
        <v>292</v>
      </c>
    </row>
    <row r="21" spans="1:13">
      <c r="A21" s="1124">
        <v>12</v>
      </c>
      <c r="B21" s="1086" t="s">
        <v>1171</v>
      </c>
      <c r="C21" s="1123">
        <v>0</v>
      </c>
      <c r="D21" s="1123">
        <v>0</v>
      </c>
      <c r="E21" s="1123">
        <v>39045.336285000005</v>
      </c>
      <c r="F21" s="1134"/>
      <c r="G21" s="1127">
        <f t="shared" ref="G21:G33" si="0">SUM(C21:F21)</f>
        <v>39045.336285000005</v>
      </c>
      <c r="H21" s="1124"/>
      <c r="I21" s="1506"/>
      <c r="J21" s="1507"/>
      <c r="K21" s="1507"/>
      <c r="L21" s="1507"/>
      <c r="M21" s="1507"/>
    </row>
    <row r="22" spans="1:13">
      <c r="A22" s="1124">
        <v>13</v>
      </c>
      <c r="B22" s="1086" t="s">
        <v>1028</v>
      </c>
      <c r="C22" s="1123">
        <v>0</v>
      </c>
      <c r="D22" s="1123">
        <v>0</v>
      </c>
      <c r="E22" s="1123">
        <v>39045.336285000005</v>
      </c>
      <c r="F22" s="1134"/>
      <c r="G22" s="1127">
        <f t="shared" si="0"/>
        <v>39045.336285000005</v>
      </c>
      <c r="H22" s="1124"/>
      <c r="I22" s="1133"/>
    </row>
    <row r="23" spans="1:13">
      <c r="A23" s="1124">
        <v>14</v>
      </c>
      <c r="B23" s="1086" t="s">
        <v>1029</v>
      </c>
      <c r="C23" s="1123">
        <v>0</v>
      </c>
      <c r="D23" s="1123">
        <v>0</v>
      </c>
      <c r="E23" s="1123">
        <v>450391.24184999999</v>
      </c>
      <c r="F23" s="1134"/>
      <c r="G23" s="1127">
        <f t="shared" si="0"/>
        <v>450391.24184999999</v>
      </c>
      <c r="H23" s="1124"/>
      <c r="I23" s="1133"/>
    </row>
    <row r="24" spans="1:13">
      <c r="A24" s="1124">
        <v>15</v>
      </c>
      <c r="B24" s="1086" t="s">
        <v>1170</v>
      </c>
      <c r="C24" s="1123">
        <v>0</v>
      </c>
      <c r="D24" s="1123">
        <v>0</v>
      </c>
      <c r="E24" s="1123">
        <v>470434.03928400006</v>
      </c>
      <c r="F24" s="1134"/>
      <c r="G24" s="1127">
        <f t="shared" si="0"/>
        <v>470434.03928400006</v>
      </c>
      <c r="H24" s="1124"/>
      <c r="I24" s="1133"/>
    </row>
    <row r="25" spans="1:13">
      <c r="A25" s="1124">
        <v>16</v>
      </c>
      <c r="B25" s="1086" t="s">
        <v>502</v>
      </c>
      <c r="C25" s="1123">
        <v>0</v>
      </c>
      <c r="D25" s="1123">
        <v>0</v>
      </c>
      <c r="E25" s="1123">
        <v>479607.97077600006</v>
      </c>
      <c r="F25" s="1134"/>
      <c r="G25" s="1127">
        <f t="shared" si="0"/>
        <v>479607.97077600006</v>
      </c>
      <c r="H25" s="1124"/>
      <c r="I25" s="1133"/>
    </row>
    <row r="26" spans="1:13">
      <c r="A26" s="1124">
        <v>17</v>
      </c>
      <c r="B26" s="1086" t="s">
        <v>503</v>
      </c>
      <c r="C26" s="1123">
        <v>0</v>
      </c>
      <c r="D26" s="1123">
        <v>0</v>
      </c>
      <c r="E26" s="1123">
        <v>478000.394982</v>
      </c>
      <c r="F26" s="1134"/>
      <c r="G26" s="1127">
        <f t="shared" si="0"/>
        <v>478000.394982</v>
      </c>
      <c r="H26" s="1124"/>
      <c r="I26" s="1133"/>
    </row>
    <row r="27" spans="1:13">
      <c r="A27" s="1124">
        <v>18</v>
      </c>
      <c r="B27" s="1086" t="s">
        <v>504</v>
      </c>
      <c r="C27" s="1123">
        <v>0</v>
      </c>
      <c r="D27" s="1123">
        <v>0</v>
      </c>
      <c r="E27" s="1123">
        <v>478838.21840800002</v>
      </c>
      <c r="F27" s="1134"/>
      <c r="G27" s="1127">
        <f t="shared" si="0"/>
        <v>478838.21840800002</v>
      </c>
      <c r="H27" s="1124"/>
      <c r="I27" s="1133"/>
    </row>
    <row r="28" spans="1:13">
      <c r="A28" s="1124">
        <v>19</v>
      </c>
      <c r="B28" s="1086" t="s">
        <v>1031</v>
      </c>
      <c r="C28" s="1123">
        <v>0</v>
      </c>
      <c r="D28" s="1123">
        <v>0</v>
      </c>
      <c r="E28" s="1123">
        <v>478838.21840800002</v>
      </c>
      <c r="F28" s="1134"/>
      <c r="G28" s="1127">
        <f t="shared" si="0"/>
        <v>478838.21840800002</v>
      </c>
      <c r="H28" s="1124"/>
      <c r="I28" s="1133"/>
    </row>
    <row r="29" spans="1:13">
      <c r="A29" s="1124">
        <v>20</v>
      </c>
      <c r="B29" s="1086" t="s">
        <v>1169</v>
      </c>
      <c r="C29" s="1123">
        <v>0</v>
      </c>
      <c r="D29" s="1123">
        <v>0</v>
      </c>
      <c r="E29" s="1123">
        <v>478838.21840800002</v>
      </c>
      <c r="F29" s="1134"/>
      <c r="G29" s="1127">
        <f t="shared" si="0"/>
        <v>478838.21840800002</v>
      </c>
      <c r="H29" s="1124"/>
      <c r="I29" s="1133"/>
    </row>
    <row r="30" spans="1:13">
      <c r="A30" s="1124">
        <v>21</v>
      </c>
      <c r="B30" s="1086" t="s">
        <v>1033</v>
      </c>
      <c r="C30" s="1123">
        <v>0</v>
      </c>
      <c r="D30" s="1123">
        <v>0</v>
      </c>
      <c r="E30" s="1123">
        <v>519910.58020000003</v>
      </c>
      <c r="F30" s="1134"/>
      <c r="G30" s="1127">
        <f t="shared" si="0"/>
        <v>519910.58020000003</v>
      </c>
      <c r="H30" s="1124"/>
      <c r="I30" s="1133"/>
    </row>
    <row r="31" spans="1:13">
      <c r="A31" s="1124">
        <v>22</v>
      </c>
      <c r="B31" s="1086" t="s">
        <v>1034</v>
      </c>
      <c r="C31" s="1123">
        <v>0</v>
      </c>
      <c r="D31" s="1123">
        <v>0</v>
      </c>
      <c r="E31" s="1123">
        <v>519910.58020000003</v>
      </c>
      <c r="F31" s="1134"/>
      <c r="G31" s="1127">
        <f t="shared" si="0"/>
        <v>519910.58020000003</v>
      </c>
      <c r="H31" s="1124"/>
      <c r="I31" s="1133"/>
    </row>
    <row r="32" spans="1:13">
      <c r="A32" s="1124">
        <v>23</v>
      </c>
      <c r="B32" s="1086" t="s">
        <v>1035</v>
      </c>
      <c r="C32" s="1123">
        <v>0</v>
      </c>
      <c r="D32" s="1123">
        <v>0</v>
      </c>
      <c r="E32" s="1123">
        <v>519910.58020000003</v>
      </c>
      <c r="F32" s="1134"/>
      <c r="G32" s="1127">
        <f t="shared" si="0"/>
        <v>519910.58020000003</v>
      </c>
      <c r="H32" s="1124"/>
      <c r="I32" s="1133"/>
    </row>
    <row r="33" spans="1:9">
      <c r="A33" s="1124">
        <v>24</v>
      </c>
      <c r="B33" s="1086" t="s">
        <v>1168</v>
      </c>
      <c r="C33" s="1123">
        <v>0</v>
      </c>
      <c r="D33" s="1123">
        <v>0</v>
      </c>
      <c r="E33" s="1123">
        <v>519910.58020000003</v>
      </c>
      <c r="F33" s="1134"/>
      <c r="G33" s="1127">
        <f t="shared" si="0"/>
        <v>519910.58020000003</v>
      </c>
      <c r="H33" s="1124"/>
      <c r="I33" s="1133"/>
    </row>
    <row r="34" spans="1:9">
      <c r="A34" s="1124">
        <v>25</v>
      </c>
      <c r="B34" s="1086" t="s">
        <v>1250</v>
      </c>
      <c r="C34" s="1126">
        <f>AVERAGE(C21:C33)</f>
        <v>0</v>
      </c>
      <c r="D34" s="1126">
        <f>AVERAGE(D21:D33)</f>
        <v>0</v>
      </c>
      <c r="E34" s="1126">
        <f>AVERAGE(E21:E33)</f>
        <v>420975.4842681539</v>
      </c>
      <c r="F34" s="1126"/>
      <c r="G34" s="1126">
        <f>AVERAGE(G21:G33)</f>
        <v>420975.4842681539</v>
      </c>
      <c r="H34" s="1124"/>
      <c r="I34" s="1133"/>
    </row>
    <row r="35" spans="1:9">
      <c r="A35" s="1124"/>
      <c r="B35" s="1086"/>
      <c r="C35" s="1126"/>
      <c r="D35" s="1126"/>
      <c r="E35" s="1126"/>
      <c r="I35" s="1133"/>
    </row>
    <row r="36" spans="1:9">
      <c r="I36" s="1133"/>
    </row>
    <row r="37" spans="1:9">
      <c r="B37" s="1125" t="s">
        <v>195</v>
      </c>
      <c r="C37" s="1128" t="s">
        <v>1252</v>
      </c>
      <c r="D37" s="1128" t="s">
        <v>1214</v>
      </c>
      <c r="E37" s="1128" t="s">
        <v>1213</v>
      </c>
      <c r="F37" s="1086"/>
      <c r="G37" s="1124" t="s">
        <v>292</v>
      </c>
      <c r="I37" s="1133"/>
    </row>
    <row r="38" spans="1:9">
      <c r="A38" s="1124">
        <v>26</v>
      </c>
      <c r="B38" s="1086" t="s">
        <v>1171</v>
      </c>
      <c r="C38" s="1123">
        <v>0</v>
      </c>
      <c r="D38" s="1135">
        <v>0</v>
      </c>
      <c r="E38" s="1135">
        <v>650.75847600000009</v>
      </c>
      <c r="F38" s="1134"/>
      <c r="G38" s="1127">
        <f t="shared" ref="G38:G50" si="1">SUM(C38:F38)</f>
        <v>650.75847600000009</v>
      </c>
      <c r="H38" s="1124"/>
      <c r="I38" s="1133"/>
    </row>
    <row r="39" spans="1:9">
      <c r="A39" s="1124">
        <v>27</v>
      </c>
      <c r="B39" s="1086" t="s">
        <v>1028</v>
      </c>
      <c r="C39" s="1123">
        <v>0</v>
      </c>
      <c r="D39" s="1123">
        <v>0</v>
      </c>
      <c r="E39" s="1135">
        <v>1301.5169520000002</v>
      </c>
      <c r="F39" s="1134"/>
      <c r="G39" s="1127">
        <f t="shared" si="1"/>
        <v>1301.5169520000002</v>
      </c>
      <c r="H39" s="1124"/>
      <c r="I39" s="1133"/>
    </row>
    <row r="40" spans="1:9">
      <c r="A40" s="1124">
        <v>28</v>
      </c>
      <c r="B40" s="1086" t="s">
        <v>1029</v>
      </c>
      <c r="C40" s="1123">
        <v>0</v>
      </c>
      <c r="D40" s="1123">
        <v>0</v>
      </c>
      <c r="E40" s="1135">
        <v>13284.221939999999</v>
      </c>
      <c r="F40" s="1134"/>
      <c r="G40" s="1127">
        <f t="shared" si="1"/>
        <v>13284.221939999999</v>
      </c>
      <c r="H40" s="1124"/>
      <c r="I40" s="1133"/>
    </row>
    <row r="41" spans="1:9">
      <c r="A41" s="1124">
        <v>29</v>
      </c>
      <c r="B41" s="1086" t="s">
        <v>1170</v>
      </c>
      <c r="C41" s="1123">
        <v>0</v>
      </c>
      <c r="D41" s="1123">
        <v>0</v>
      </c>
      <c r="E41" s="1135">
        <v>25848.822846000003</v>
      </c>
      <c r="F41" s="1134"/>
      <c r="G41" s="1127">
        <f t="shared" si="1"/>
        <v>25848.822846000003</v>
      </c>
      <c r="H41" s="1124"/>
      <c r="I41" s="1133"/>
    </row>
    <row r="42" spans="1:9">
      <c r="A42" s="1124">
        <v>30</v>
      </c>
      <c r="B42" s="1086" t="s">
        <v>502</v>
      </c>
      <c r="C42" s="1123">
        <v>0</v>
      </c>
      <c r="D42" s="1123">
        <v>0</v>
      </c>
      <c r="E42" s="1135">
        <v>38683.244864000008</v>
      </c>
      <c r="F42" s="1134"/>
      <c r="G42" s="1127">
        <f t="shared" si="1"/>
        <v>38683.244864000008</v>
      </c>
      <c r="H42" s="1124"/>
      <c r="I42" s="1133"/>
    </row>
    <row r="43" spans="1:9">
      <c r="A43" s="1124">
        <v>31</v>
      </c>
      <c r="B43" s="1086" t="s">
        <v>503</v>
      </c>
      <c r="C43" s="1123">
        <v>0</v>
      </c>
      <c r="D43" s="1123">
        <v>0</v>
      </c>
      <c r="E43" s="1135">
        <v>51468.958684000005</v>
      </c>
      <c r="F43" s="1134"/>
      <c r="G43" s="1127">
        <f t="shared" si="1"/>
        <v>51468.958684000005</v>
      </c>
      <c r="H43" s="1124"/>
      <c r="I43" s="1133"/>
    </row>
    <row r="44" spans="1:9">
      <c r="A44" s="1124">
        <v>32</v>
      </c>
      <c r="B44" s="1086" t="s">
        <v>504</v>
      </c>
      <c r="C44" s="1123">
        <v>0</v>
      </c>
      <c r="D44" s="1123">
        <v>0</v>
      </c>
      <c r="E44" s="1135">
        <v>64280.856838000014</v>
      </c>
      <c r="F44" s="1134"/>
      <c r="G44" s="1127">
        <f t="shared" si="1"/>
        <v>64280.856838000014</v>
      </c>
      <c r="H44" s="1124"/>
      <c r="I44" s="1133"/>
    </row>
    <row r="45" spans="1:9">
      <c r="A45" s="1124">
        <v>33</v>
      </c>
      <c r="B45" s="1086" t="s">
        <v>1031</v>
      </c>
      <c r="C45" s="1123">
        <v>0</v>
      </c>
      <c r="D45" s="1123">
        <v>0</v>
      </c>
      <c r="E45" s="1135">
        <v>77092.748149999999</v>
      </c>
      <c r="F45" s="1134"/>
      <c r="G45" s="1127">
        <f t="shared" si="1"/>
        <v>77092.748149999999</v>
      </c>
      <c r="H45" s="1124"/>
      <c r="I45" s="1133"/>
    </row>
    <row r="46" spans="1:9">
      <c r="A46" s="1124">
        <v>34</v>
      </c>
      <c r="B46" s="1086" t="s">
        <v>1169</v>
      </c>
      <c r="C46" s="1123">
        <v>0</v>
      </c>
      <c r="D46" s="1123">
        <v>0</v>
      </c>
      <c r="E46" s="1135">
        <v>89904.639461999992</v>
      </c>
      <c r="F46" s="1134"/>
      <c r="G46" s="1127">
        <f t="shared" si="1"/>
        <v>89904.639461999992</v>
      </c>
      <c r="H46" s="1124"/>
      <c r="I46" s="1133"/>
    </row>
    <row r="47" spans="1:9">
      <c r="A47" s="1124">
        <v>35</v>
      </c>
      <c r="B47" s="1086" t="s">
        <v>1033</v>
      </c>
      <c r="C47" s="1123">
        <v>0</v>
      </c>
      <c r="D47" s="1123">
        <v>0</v>
      </c>
      <c r="E47" s="1135">
        <v>102947.11301599999</v>
      </c>
      <c r="F47" s="1134"/>
      <c r="G47" s="1127">
        <f t="shared" si="1"/>
        <v>102947.11301599999</v>
      </c>
      <c r="H47" s="1124"/>
      <c r="I47" s="1133"/>
    </row>
    <row r="48" spans="1:9">
      <c r="A48" s="1124">
        <v>36</v>
      </c>
      <c r="B48" s="1086" t="s">
        <v>1034</v>
      </c>
      <c r="C48" s="1123">
        <v>0</v>
      </c>
      <c r="D48" s="1123">
        <v>0</v>
      </c>
      <c r="E48" s="1135">
        <v>116220.04565599999</v>
      </c>
      <c r="F48" s="1134"/>
      <c r="G48" s="1127">
        <f t="shared" si="1"/>
        <v>116220.04565599999</v>
      </c>
      <c r="H48" s="1124"/>
      <c r="I48" s="1133"/>
    </row>
    <row r="49" spans="1:9">
      <c r="A49" s="1124">
        <v>37</v>
      </c>
      <c r="B49" s="1086" t="s">
        <v>1035</v>
      </c>
      <c r="C49" s="1123">
        <v>0</v>
      </c>
      <c r="D49" s="1123">
        <v>0</v>
      </c>
      <c r="E49" s="1135">
        <v>129492.97829599999</v>
      </c>
      <c r="F49" s="1134"/>
      <c r="G49" s="1127">
        <f t="shared" si="1"/>
        <v>129492.97829599999</v>
      </c>
      <c r="H49" s="1124"/>
      <c r="I49" s="1133"/>
    </row>
    <row r="50" spans="1:9">
      <c r="A50" s="1124">
        <v>38</v>
      </c>
      <c r="B50" s="1086" t="s">
        <v>1168</v>
      </c>
      <c r="C50" s="1123">
        <v>0</v>
      </c>
      <c r="D50" s="1135">
        <v>0</v>
      </c>
      <c r="E50" s="1135">
        <v>142765.91093599997</v>
      </c>
      <c r="F50" s="1134"/>
      <c r="G50" s="1127">
        <f t="shared" si="1"/>
        <v>142765.91093599997</v>
      </c>
      <c r="H50" s="1124"/>
      <c r="I50" s="1133"/>
    </row>
    <row r="51" spans="1:9">
      <c r="A51" s="1124">
        <v>39</v>
      </c>
      <c r="B51" s="1086" t="s">
        <v>1250</v>
      </c>
      <c r="C51" s="1126">
        <f>AVERAGE(C38:C50)</f>
        <v>0</v>
      </c>
      <c r="D51" s="1126">
        <f>AVERAGE(D38:D50)</f>
        <v>0</v>
      </c>
      <c r="E51" s="1126">
        <f>AVERAGE(E38:E50)</f>
        <v>65687.832008923069</v>
      </c>
      <c r="F51" s="1126"/>
      <c r="G51" s="1126">
        <f>AVERAGE(G38:G50)</f>
        <v>65687.832008923069</v>
      </c>
      <c r="I51" s="1133"/>
    </row>
    <row r="52" spans="1:9" ht="18">
      <c r="B52" s="1678" t="s">
        <v>686</v>
      </c>
      <c r="C52" s="1678"/>
      <c r="D52" s="1678"/>
      <c r="E52" s="1678"/>
      <c r="F52" s="1678"/>
    </row>
    <row r="53" spans="1:9" ht="20">
      <c r="A53" s="1132"/>
      <c r="B53" s="1131"/>
      <c r="C53" s="1130"/>
    </row>
    <row r="54" spans="1:9">
      <c r="A54" s="1679" t="s">
        <v>1256</v>
      </c>
      <c r="B54" s="1679"/>
      <c r="C54" s="1679"/>
      <c r="D54" s="1679"/>
      <c r="E54" s="1679"/>
    </row>
    <row r="55" spans="1:9">
      <c r="B55" s="1129" t="s">
        <v>1190</v>
      </c>
      <c r="C55" s="1129" t="s">
        <v>1184</v>
      </c>
      <c r="D55" s="1129" t="s">
        <v>1183</v>
      </c>
      <c r="E55" s="1129" t="s">
        <v>1182</v>
      </c>
      <c r="F55" s="1129" t="s">
        <v>1255</v>
      </c>
      <c r="G55" s="1129" t="s">
        <v>1254</v>
      </c>
    </row>
    <row r="56" spans="1:9">
      <c r="B56" s="1125" t="s">
        <v>1253</v>
      </c>
      <c r="C56" s="1128" t="s">
        <v>1252</v>
      </c>
      <c r="D56" s="1128" t="s">
        <v>1214</v>
      </c>
      <c r="E56" s="1128" t="s">
        <v>1213</v>
      </c>
      <c r="F56" s="1086"/>
      <c r="G56" s="1124" t="s">
        <v>292</v>
      </c>
    </row>
    <row r="57" spans="1:9">
      <c r="A57" s="1124">
        <v>40</v>
      </c>
      <c r="B57" s="1086" t="s">
        <v>1171</v>
      </c>
      <c r="C57" s="1126">
        <f t="shared" ref="C57:F69" si="2">C21-C38</f>
        <v>0</v>
      </c>
      <c r="D57" s="1126">
        <f t="shared" si="2"/>
        <v>0</v>
      </c>
      <c r="E57" s="1126">
        <f t="shared" si="2"/>
        <v>38394.577809000002</v>
      </c>
      <c r="F57" s="1126">
        <f t="shared" si="2"/>
        <v>0</v>
      </c>
      <c r="G57" s="1127">
        <f t="shared" ref="G57:G69" si="3">SUM(C57:F57)</f>
        <v>38394.577809000002</v>
      </c>
      <c r="H57" s="1124"/>
    </row>
    <row r="58" spans="1:9">
      <c r="A58" s="1124">
        <v>41</v>
      </c>
      <c r="B58" s="1086" t="s">
        <v>1028</v>
      </c>
      <c r="C58" s="1126">
        <f t="shared" si="2"/>
        <v>0</v>
      </c>
      <c r="D58" s="1126">
        <f t="shared" si="2"/>
        <v>0</v>
      </c>
      <c r="E58" s="1126">
        <f t="shared" si="2"/>
        <v>37743.819333000007</v>
      </c>
      <c r="F58" s="1126">
        <f t="shared" si="2"/>
        <v>0</v>
      </c>
      <c r="G58" s="1127">
        <f t="shared" si="3"/>
        <v>37743.819333000007</v>
      </c>
      <c r="H58" s="1124"/>
    </row>
    <row r="59" spans="1:9">
      <c r="A59" s="1124">
        <v>42</v>
      </c>
      <c r="B59" s="1086" t="s">
        <v>1029</v>
      </c>
      <c r="C59" s="1126">
        <f t="shared" si="2"/>
        <v>0</v>
      </c>
      <c r="D59" s="1126">
        <f t="shared" si="2"/>
        <v>0</v>
      </c>
      <c r="E59" s="1126">
        <f t="shared" si="2"/>
        <v>437107.01990999997</v>
      </c>
      <c r="F59" s="1126">
        <f t="shared" si="2"/>
        <v>0</v>
      </c>
      <c r="G59" s="1127">
        <f t="shared" si="3"/>
        <v>437107.01990999997</v>
      </c>
      <c r="H59" s="1124"/>
    </row>
    <row r="60" spans="1:9">
      <c r="A60" s="1124">
        <v>43</v>
      </c>
      <c r="B60" s="1086" t="s">
        <v>1170</v>
      </c>
      <c r="C60" s="1126">
        <f t="shared" si="2"/>
        <v>0</v>
      </c>
      <c r="D60" s="1126">
        <f t="shared" si="2"/>
        <v>0</v>
      </c>
      <c r="E60" s="1126">
        <f t="shared" si="2"/>
        <v>444585.21643800003</v>
      </c>
      <c r="F60" s="1126">
        <f t="shared" si="2"/>
        <v>0</v>
      </c>
      <c r="G60" s="1127">
        <f t="shared" si="3"/>
        <v>444585.21643800003</v>
      </c>
      <c r="H60" s="1124"/>
    </row>
    <row r="61" spans="1:9">
      <c r="A61" s="1124">
        <v>44</v>
      </c>
      <c r="B61" s="1086" t="s">
        <v>502</v>
      </c>
      <c r="C61" s="1126">
        <f t="shared" si="2"/>
        <v>0</v>
      </c>
      <c r="D61" s="1126">
        <f t="shared" si="2"/>
        <v>0</v>
      </c>
      <c r="E61" s="1126">
        <f t="shared" si="2"/>
        <v>440924.72591200005</v>
      </c>
      <c r="F61" s="1126">
        <f t="shared" si="2"/>
        <v>0</v>
      </c>
      <c r="G61" s="1127">
        <f t="shared" si="3"/>
        <v>440924.72591200005</v>
      </c>
      <c r="H61" s="1124"/>
    </row>
    <row r="62" spans="1:9">
      <c r="A62" s="1124">
        <v>45</v>
      </c>
      <c r="B62" s="1086" t="s">
        <v>503</v>
      </c>
      <c r="C62" s="1126">
        <f t="shared" si="2"/>
        <v>0</v>
      </c>
      <c r="D62" s="1126">
        <f t="shared" si="2"/>
        <v>0</v>
      </c>
      <c r="E62" s="1126">
        <f t="shared" si="2"/>
        <v>426531.43629799999</v>
      </c>
      <c r="F62" s="1126">
        <f t="shared" si="2"/>
        <v>0</v>
      </c>
      <c r="G62" s="1127">
        <f t="shared" si="3"/>
        <v>426531.43629799999</v>
      </c>
      <c r="H62" s="1124"/>
    </row>
    <row r="63" spans="1:9">
      <c r="A63" s="1124">
        <v>46</v>
      </c>
      <c r="B63" s="1086" t="s">
        <v>504</v>
      </c>
      <c r="C63" s="1126">
        <f t="shared" si="2"/>
        <v>0</v>
      </c>
      <c r="D63" s="1126">
        <f t="shared" si="2"/>
        <v>0</v>
      </c>
      <c r="E63" s="1126">
        <f t="shared" si="2"/>
        <v>414557.36157000001</v>
      </c>
      <c r="F63" s="1126">
        <f t="shared" si="2"/>
        <v>0</v>
      </c>
      <c r="G63" s="1127">
        <f t="shared" si="3"/>
        <v>414557.36157000001</v>
      </c>
      <c r="H63" s="1124"/>
    </row>
    <row r="64" spans="1:9">
      <c r="A64" s="1124">
        <v>47</v>
      </c>
      <c r="B64" s="1086" t="s">
        <v>1031</v>
      </c>
      <c r="C64" s="1126">
        <f t="shared" si="2"/>
        <v>0</v>
      </c>
      <c r="D64" s="1126">
        <f t="shared" si="2"/>
        <v>0</v>
      </c>
      <c r="E64" s="1126">
        <f t="shared" si="2"/>
        <v>401745.47025800002</v>
      </c>
      <c r="F64" s="1126">
        <f t="shared" si="2"/>
        <v>0</v>
      </c>
      <c r="G64" s="1127">
        <f t="shared" si="3"/>
        <v>401745.47025800002</v>
      </c>
      <c r="H64" s="1124"/>
    </row>
    <row r="65" spans="1:8">
      <c r="A65" s="1124">
        <v>48</v>
      </c>
      <c r="B65" s="1086" t="s">
        <v>1169</v>
      </c>
      <c r="C65" s="1126">
        <f t="shared" si="2"/>
        <v>0</v>
      </c>
      <c r="D65" s="1126">
        <f t="shared" si="2"/>
        <v>0</v>
      </c>
      <c r="E65" s="1126">
        <f t="shared" si="2"/>
        <v>388933.57894600002</v>
      </c>
      <c r="F65" s="1126">
        <f t="shared" si="2"/>
        <v>0</v>
      </c>
      <c r="G65" s="1127">
        <f t="shared" si="3"/>
        <v>388933.57894600002</v>
      </c>
      <c r="H65" s="1124"/>
    </row>
    <row r="66" spans="1:8">
      <c r="A66" s="1124">
        <v>49</v>
      </c>
      <c r="B66" s="1086" t="s">
        <v>1033</v>
      </c>
      <c r="C66" s="1126">
        <f t="shared" si="2"/>
        <v>0</v>
      </c>
      <c r="D66" s="1126">
        <f t="shared" si="2"/>
        <v>0</v>
      </c>
      <c r="E66" s="1126">
        <f t="shared" si="2"/>
        <v>416963.46718400007</v>
      </c>
      <c r="F66" s="1126">
        <f t="shared" si="2"/>
        <v>0</v>
      </c>
      <c r="G66" s="1127">
        <f t="shared" si="3"/>
        <v>416963.46718400007</v>
      </c>
      <c r="H66" s="1124"/>
    </row>
    <row r="67" spans="1:8">
      <c r="A67" s="1124">
        <v>50</v>
      </c>
      <c r="B67" s="1086" t="s">
        <v>1034</v>
      </c>
      <c r="C67" s="1126">
        <f t="shared" si="2"/>
        <v>0</v>
      </c>
      <c r="D67" s="1126">
        <f t="shared" si="2"/>
        <v>0</v>
      </c>
      <c r="E67" s="1126">
        <f t="shared" si="2"/>
        <v>403690.53454400005</v>
      </c>
      <c r="F67" s="1126">
        <f t="shared" si="2"/>
        <v>0</v>
      </c>
      <c r="G67" s="1127">
        <f t="shared" si="3"/>
        <v>403690.53454400005</v>
      </c>
      <c r="H67" s="1124"/>
    </row>
    <row r="68" spans="1:8">
      <c r="A68" s="1124">
        <v>51</v>
      </c>
      <c r="B68" s="1086" t="s">
        <v>1035</v>
      </c>
      <c r="C68" s="1126">
        <f t="shared" si="2"/>
        <v>0</v>
      </c>
      <c r="D68" s="1126">
        <f t="shared" si="2"/>
        <v>0</v>
      </c>
      <c r="E68" s="1126">
        <f t="shared" si="2"/>
        <v>390417.60190400004</v>
      </c>
      <c r="F68" s="1126">
        <f t="shared" si="2"/>
        <v>0</v>
      </c>
      <c r="G68" s="1127">
        <f t="shared" si="3"/>
        <v>390417.60190400004</v>
      </c>
      <c r="H68" s="1124"/>
    </row>
    <row r="69" spans="1:8">
      <c r="A69" s="1124">
        <v>52</v>
      </c>
      <c r="B69" s="1086" t="s">
        <v>1168</v>
      </c>
      <c r="C69" s="1126">
        <f t="shared" si="2"/>
        <v>0</v>
      </c>
      <c r="D69" s="1126">
        <f t="shared" si="2"/>
        <v>0</v>
      </c>
      <c r="E69" s="1126">
        <f t="shared" si="2"/>
        <v>377144.66926400003</v>
      </c>
      <c r="F69" s="1126">
        <f t="shared" si="2"/>
        <v>0</v>
      </c>
      <c r="G69" s="1127">
        <f t="shared" si="3"/>
        <v>377144.66926400003</v>
      </c>
      <c r="H69" s="1124"/>
    </row>
    <row r="70" spans="1:8">
      <c r="A70" s="1124">
        <v>53</v>
      </c>
      <c r="B70" s="1086" t="s">
        <v>1250</v>
      </c>
      <c r="C70" s="1126">
        <f>AVERAGE(C57:C69)</f>
        <v>0</v>
      </c>
      <c r="D70" s="1126">
        <f>AVERAGE(D57:D69)</f>
        <v>0</v>
      </c>
      <c r="E70" s="1126">
        <f>AVERAGE(E57:E69)</f>
        <v>355287.65225923073</v>
      </c>
      <c r="F70" s="1126">
        <f>AVERAGE(F57:F69)</f>
        <v>0</v>
      </c>
      <c r="G70" s="1126">
        <f>AVERAGE(G57:G69)</f>
        <v>355287.65225923073</v>
      </c>
      <c r="H70" s="1124"/>
    </row>
    <row r="73" spans="1:8">
      <c r="B73" s="1125" t="s">
        <v>410</v>
      </c>
      <c r="C73" s="1462" t="s">
        <v>1252</v>
      </c>
      <c r="D73" s="1462" t="s">
        <v>1214</v>
      </c>
      <c r="E73" s="1462" t="s">
        <v>1213</v>
      </c>
      <c r="G73" s="1124" t="s">
        <v>292</v>
      </c>
    </row>
    <row r="74" spans="1:8">
      <c r="A74" s="1124">
        <v>54</v>
      </c>
      <c r="B74" s="1086" t="s">
        <v>1028</v>
      </c>
      <c r="C74" s="1123">
        <f t="shared" ref="C74:D85" si="4">C39-C38</f>
        <v>0</v>
      </c>
      <c r="D74" s="1123">
        <f t="shared" si="4"/>
        <v>0</v>
      </c>
      <c r="E74" s="1123">
        <v>642.16480000000001</v>
      </c>
      <c r="G74" s="1127">
        <f t="shared" ref="G74:G86" si="5">SUM(C74:F74)</f>
        <v>642.16480000000001</v>
      </c>
      <c r="H74" s="1124"/>
    </row>
    <row r="75" spans="1:8">
      <c r="A75" s="1124">
        <v>55</v>
      </c>
      <c r="B75" s="1086" t="s">
        <v>1029</v>
      </c>
      <c r="C75" s="1123">
        <f t="shared" si="4"/>
        <v>0</v>
      </c>
      <c r="D75" s="1123">
        <f t="shared" si="4"/>
        <v>0</v>
      </c>
      <c r="E75" s="1123">
        <v>11865.765460000001</v>
      </c>
      <c r="G75" s="1127">
        <f t="shared" si="5"/>
        <v>11865.765460000001</v>
      </c>
      <c r="H75" s="1124"/>
    </row>
    <row r="76" spans="1:8">
      <c r="A76" s="1124">
        <v>56</v>
      </c>
      <c r="B76" s="1086" t="s">
        <v>1170</v>
      </c>
      <c r="C76" s="1123">
        <f t="shared" si="4"/>
        <v>0</v>
      </c>
      <c r="D76" s="1123">
        <f t="shared" si="4"/>
        <v>0</v>
      </c>
      <c r="E76" s="1123">
        <v>12432.38061</v>
      </c>
      <c r="G76" s="1127">
        <f t="shared" si="5"/>
        <v>12432.38061</v>
      </c>
      <c r="H76" s="1124"/>
    </row>
    <row r="77" spans="1:8">
      <c r="A77" s="1124">
        <v>57</v>
      </c>
      <c r="B77" s="1086" t="s">
        <v>502</v>
      </c>
      <c r="C77" s="1123">
        <f t="shared" si="4"/>
        <v>0</v>
      </c>
      <c r="D77" s="1123">
        <f t="shared" si="4"/>
        <v>0</v>
      </c>
      <c r="E77" s="1123">
        <v>12699.362330000002</v>
      </c>
      <c r="G77" s="1127">
        <f t="shared" si="5"/>
        <v>12699.362330000002</v>
      </c>
      <c r="H77" s="1124"/>
    </row>
    <row r="78" spans="1:8">
      <c r="A78" s="1124">
        <v>58</v>
      </c>
      <c r="B78" s="1086" t="s">
        <v>503</v>
      </c>
      <c r="C78" s="1123">
        <f t="shared" si="4"/>
        <v>0</v>
      </c>
      <c r="D78" s="1123">
        <f t="shared" si="4"/>
        <v>0</v>
      </c>
      <c r="E78" s="1123">
        <v>12651.1667</v>
      </c>
      <c r="G78" s="1127">
        <f t="shared" si="5"/>
        <v>12651.1667</v>
      </c>
      <c r="H78" s="1124"/>
    </row>
    <row r="79" spans="1:8">
      <c r="A79" s="1124">
        <v>59</v>
      </c>
      <c r="B79" s="1086" t="s">
        <v>504</v>
      </c>
      <c r="C79" s="1123">
        <f t="shared" si="4"/>
        <v>0</v>
      </c>
      <c r="D79" s="1123">
        <f t="shared" si="4"/>
        <v>0</v>
      </c>
      <c r="E79" s="1123">
        <v>12677.075490000003</v>
      </c>
      <c r="G79" s="1127">
        <f t="shared" si="5"/>
        <v>12677.075490000003</v>
      </c>
      <c r="H79" s="1124"/>
    </row>
    <row r="80" spans="1:8">
      <c r="A80" s="1124">
        <v>60</v>
      </c>
      <c r="B80" s="1086" t="s">
        <v>1031</v>
      </c>
      <c r="C80" s="1123">
        <f t="shared" si="4"/>
        <v>0</v>
      </c>
      <c r="D80" s="1123">
        <f t="shared" si="4"/>
        <v>0</v>
      </c>
      <c r="E80" s="1123">
        <v>12677.068720000001</v>
      </c>
      <c r="G80" s="1127">
        <f t="shared" si="5"/>
        <v>12677.068720000001</v>
      </c>
      <c r="H80" s="1124"/>
    </row>
    <row r="81" spans="1:8">
      <c r="A81" s="1124">
        <v>61</v>
      </c>
      <c r="B81" s="1086" t="s">
        <v>1169</v>
      </c>
      <c r="C81" s="1123">
        <f t="shared" si="4"/>
        <v>0</v>
      </c>
      <c r="D81" s="1123">
        <f t="shared" si="4"/>
        <v>0</v>
      </c>
      <c r="E81" s="1123">
        <v>12677.068720000001</v>
      </c>
      <c r="G81" s="1127">
        <f t="shared" si="5"/>
        <v>12677.068720000001</v>
      </c>
      <c r="H81" s="1124"/>
    </row>
    <row r="82" spans="1:8">
      <c r="A82" s="1124">
        <v>62</v>
      </c>
      <c r="B82" s="1086" t="s">
        <v>1033</v>
      </c>
      <c r="C82" s="1123">
        <f t="shared" si="4"/>
        <v>0</v>
      </c>
      <c r="D82" s="1123">
        <f t="shared" si="4"/>
        <v>0</v>
      </c>
      <c r="E82" s="1123">
        <v>12905.224490000002</v>
      </c>
      <c r="G82" s="1127">
        <f t="shared" si="5"/>
        <v>12905.224490000002</v>
      </c>
      <c r="H82" s="1124"/>
    </row>
    <row r="83" spans="1:8">
      <c r="A83" s="1124">
        <v>63</v>
      </c>
      <c r="B83" s="1086" t="s">
        <v>1034</v>
      </c>
      <c r="C83" s="1123">
        <f t="shared" si="4"/>
        <v>0</v>
      </c>
      <c r="D83" s="1123">
        <f t="shared" si="4"/>
        <v>0</v>
      </c>
      <c r="E83" s="1123">
        <v>13133.258400000004</v>
      </c>
      <c r="G83" s="1127">
        <f t="shared" si="5"/>
        <v>13133.258400000004</v>
      </c>
      <c r="H83" s="1124"/>
    </row>
    <row r="84" spans="1:8">
      <c r="A84" s="1124">
        <v>64</v>
      </c>
      <c r="B84" s="1086" t="s">
        <v>1035</v>
      </c>
      <c r="C84" s="1123">
        <f t="shared" si="4"/>
        <v>0</v>
      </c>
      <c r="D84" s="1123">
        <f t="shared" si="4"/>
        <v>0</v>
      </c>
      <c r="E84" s="1123">
        <v>13133.258400000004</v>
      </c>
      <c r="G84" s="1127">
        <f t="shared" si="5"/>
        <v>13133.258400000004</v>
      </c>
      <c r="H84" s="1124"/>
    </row>
    <row r="85" spans="1:8">
      <c r="A85" s="1124">
        <v>65</v>
      </c>
      <c r="B85" s="1086" t="s">
        <v>1168</v>
      </c>
      <c r="C85" s="1123">
        <f t="shared" si="4"/>
        <v>0</v>
      </c>
      <c r="D85" s="1123">
        <f t="shared" si="4"/>
        <v>0</v>
      </c>
      <c r="E85" s="1123">
        <v>13133.258400000004</v>
      </c>
      <c r="G85" s="1127">
        <f t="shared" si="5"/>
        <v>13133.258400000004</v>
      </c>
      <c r="H85" s="1124"/>
    </row>
    <row r="86" spans="1:8">
      <c r="A86" s="1124">
        <v>66</v>
      </c>
      <c r="B86" s="1086" t="s">
        <v>292</v>
      </c>
      <c r="C86" s="1123">
        <f>SUM(C74:C85)</f>
        <v>0</v>
      </c>
      <c r="D86" s="1123">
        <f>SUM(D74:D85)</f>
        <v>0</v>
      </c>
      <c r="E86" s="1123">
        <f>SUM(E74:E85)</f>
        <v>140627.05252000003</v>
      </c>
      <c r="F86" s="1126">
        <f>SUM(F74:F85)</f>
        <v>0</v>
      </c>
      <c r="G86" s="1127">
        <f t="shared" si="5"/>
        <v>140627.05252000003</v>
      </c>
    </row>
    <row r="87" spans="1:8">
      <c r="G87" s="1126"/>
    </row>
    <row r="89" spans="1:8">
      <c r="B89" s="1125" t="s">
        <v>1251</v>
      </c>
      <c r="C89" s="1086"/>
    </row>
    <row r="90" spans="1:8">
      <c r="A90" s="1124">
        <v>67</v>
      </c>
      <c r="B90" s="1086" t="s">
        <v>1171</v>
      </c>
      <c r="C90" s="1123">
        <v>39045.336285000005</v>
      </c>
    </row>
    <row r="91" spans="1:8">
      <c r="A91" s="1124">
        <v>68</v>
      </c>
      <c r="B91" s="1086" t="s">
        <v>1028</v>
      </c>
      <c r="C91" s="1123">
        <v>39045.336285000005</v>
      </c>
    </row>
    <row r="92" spans="1:8">
      <c r="A92" s="1124">
        <v>69</v>
      </c>
      <c r="B92" s="1086" t="s">
        <v>1029</v>
      </c>
      <c r="C92" s="1123">
        <v>450391.24184999999</v>
      </c>
    </row>
    <row r="93" spans="1:8">
      <c r="A93" s="1124">
        <v>70</v>
      </c>
      <c r="B93" s="1086" t="s">
        <v>1170</v>
      </c>
      <c r="C93" s="1123">
        <v>470434.03928400006</v>
      </c>
    </row>
    <row r="94" spans="1:8">
      <c r="A94" s="1124">
        <v>71</v>
      </c>
      <c r="B94" s="1086" t="s">
        <v>502</v>
      </c>
      <c r="C94" s="1123">
        <v>479607.97077600006</v>
      </c>
    </row>
    <row r="95" spans="1:8">
      <c r="A95" s="1124">
        <v>72</v>
      </c>
      <c r="B95" s="1086" t="s">
        <v>503</v>
      </c>
      <c r="C95" s="1123">
        <v>478000.394982</v>
      </c>
    </row>
    <row r="96" spans="1:8">
      <c r="A96" s="1124">
        <v>73</v>
      </c>
      <c r="B96" s="1086" t="s">
        <v>504</v>
      </c>
      <c r="C96" s="1123">
        <v>478838.21840800002</v>
      </c>
    </row>
    <row r="97" spans="1:3">
      <c r="A97" s="1124">
        <v>74</v>
      </c>
      <c r="B97" s="1086" t="s">
        <v>1031</v>
      </c>
      <c r="C97" s="1123">
        <v>478838.21840800002</v>
      </c>
    </row>
    <row r="98" spans="1:3">
      <c r="A98" s="1124">
        <v>75</v>
      </c>
      <c r="B98" s="1086" t="s">
        <v>1169</v>
      </c>
      <c r="C98" s="1123">
        <v>478838.21840800002</v>
      </c>
    </row>
    <row r="99" spans="1:3">
      <c r="A99" s="1124">
        <v>76</v>
      </c>
      <c r="B99" s="1086" t="s">
        <v>1033</v>
      </c>
      <c r="C99" s="1123">
        <v>519910.58020000003</v>
      </c>
    </row>
    <row r="100" spans="1:3">
      <c r="A100" s="1124">
        <v>77</v>
      </c>
      <c r="B100" s="1086" t="s">
        <v>1034</v>
      </c>
      <c r="C100" s="1123">
        <v>519910.58020000003</v>
      </c>
    </row>
    <row r="101" spans="1:3">
      <c r="A101" s="1124">
        <v>78</v>
      </c>
      <c r="B101" s="1086" t="s">
        <v>1035</v>
      </c>
      <c r="C101" s="1123">
        <v>519910.58020000003</v>
      </c>
    </row>
    <row r="102" spans="1:3">
      <c r="A102" s="1124">
        <v>79</v>
      </c>
      <c r="B102" s="1086" t="s">
        <v>1168</v>
      </c>
      <c r="C102" s="1123">
        <v>519910.58020000003</v>
      </c>
    </row>
    <row r="103" spans="1:3">
      <c r="A103" s="1124">
        <v>80</v>
      </c>
      <c r="B103" s="1086" t="s">
        <v>1250</v>
      </c>
      <c r="C103" s="1123">
        <f>AVERAGE(C90:C102)</f>
        <v>420975.4842681539</v>
      </c>
    </row>
  </sheetData>
  <mergeCells count="4">
    <mergeCell ref="A1:E1"/>
    <mergeCell ref="A3:E3"/>
    <mergeCell ref="B52:F52"/>
    <mergeCell ref="A54:E54"/>
  </mergeCells>
  <pageMargins left="0.7" right="0.7" top="0.75" bottom="0.75" header="0.3" footer="0.3"/>
  <pageSetup scale="47" orientation="portrait" r:id="rId1"/>
  <rowBreaks count="1" manualBreakCount="1">
    <brk id="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54"/>
  <sheetViews>
    <sheetView workbookViewId="0">
      <selection activeCell="I10" sqref="I10"/>
    </sheetView>
  </sheetViews>
  <sheetFormatPr defaultColWidth="9.1796875" defaultRowHeight="13"/>
  <cols>
    <col min="1" max="1" width="9.1796875" style="527"/>
    <col min="2" max="2" width="10.453125" style="527" customWidth="1"/>
    <col min="3" max="3" width="51.1796875" style="527" bestFit="1" customWidth="1"/>
    <col min="4" max="4" width="9.1796875" style="527"/>
    <col min="5" max="5" width="9.1796875" style="536"/>
    <col min="6" max="16384" width="9.1796875" style="527"/>
  </cols>
  <sheetData>
    <row r="1" spans="1:10">
      <c r="A1" s="1680" t="s">
        <v>686</v>
      </c>
      <c r="B1" s="1680"/>
      <c r="C1" s="1680"/>
      <c r="D1" s="1680"/>
      <c r="E1" s="1680"/>
      <c r="F1" s="742"/>
    </row>
    <row r="2" spans="1:10">
      <c r="A2" s="1680" t="s">
        <v>1498</v>
      </c>
      <c r="B2" s="1680"/>
      <c r="C2" s="1680"/>
      <c r="D2" s="1680"/>
      <c r="E2" s="1680"/>
      <c r="F2" s="743"/>
    </row>
    <row r="3" spans="1:10">
      <c r="A3" s="528"/>
      <c r="B3" s="1415" t="s">
        <v>687</v>
      </c>
      <c r="C3" s="1416"/>
      <c r="D3" s="1416"/>
      <c r="E3" s="1417" t="s">
        <v>688</v>
      </c>
      <c r="F3" s="528"/>
      <c r="H3" s="529"/>
      <c r="J3" s="530"/>
    </row>
    <row r="4" spans="1:10">
      <c r="A4" s="528"/>
      <c r="B4" s="1416" t="s">
        <v>689</v>
      </c>
      <c r="C4" s="1416" t="s">
        <v>690</v>
      </c>
      <c r="D4" s="1416"/>
      <c r="E4" s="1418" t="s">
        <v>691</v>
      </c>
      <c r="F4" s="528"/>
      <c r="H4" s="531"/>
      <c r="J4" s="530"/>
    </row>
    <row r="5" spans="1:10">
      <c r="A5" s="528"/>
      <c r="B5" s="1419">
        <v>350.2</v>
      </c>
      <c r="C5" s="1420" t="s">
        <v>692</v>
      </c>
      <c r="D5" s="1420"/>
      <c r="E5" s="1421">
        <v>1.22</v>
      </c>
      <c r="F5" s="926"/>
      <c r="H5" s="529"/>
      <c r="J5" s="530"/>
    </row>
    <row r="6" spans="1:10">
      <c r="A6" s="528"/>
      <c r="B6" s="1419">
        <v>352</v>
      </c>
      <c r="C6" s="1420" t="s">
        <v>693</v>
      </c>
      <c r="D6" s="1420"/>
      <c r="E6" s="1421">
        <v>1.84</v>
      </c>
      <c r="F6" s="926"/>
      <c r="H6" s="531"/>
      <c r="J6" s="530"/>
    </row>
    <row r="7" spans="1:10">
      <c r="A7" s="528"/>
      <c r="B7" s="1419">
        <v>353</v>
      </c>
      <c r="C7" s="1420" t="s">
        <v>694</v>
      </c>
      <c r="D7" s="1420"/>
      <c r="E7" s="1421">
        <v>2.17</v>
      </c>
      <c r="F7" s="926"/>
      <c r="J7" s="532"/>
    </row>
    <row r="8" spans="1:10">
      <c r="A8" s="528"/>
      <c r="B8" s="1419">
        <v>354</v>
      </c>
      <c r="C8" s="1420" t="s">
        <v>695</v>
      </c>
      <c r="D8" s="1420"/>
      <c r="E8" s="1421">
        <v>2.02</v>
      </c>
      <c r="F8" s="926"/>
      <c r="H8" s="533"/>
      <c r="I8" s="534"/>
      <c r="J8" s="535"/>
    </row>
    <row r="9" spans="1:10">
      <c r="A9" s="528"/>
      <c r="B9" s="1419">
        <v>355</v>
      </c>
      <c r="C9" s="1420" t="s">
        <v>696</v>
      </c>
      <c r="D9" s="1420"/>
      <c r="E9" s="1421">
        <v>2.57</v>
      </c>
      <c r="F9" s="926"/>
    </row>
    <row r="10" spans="1:10">
      <c r="A10" s="528"/>
      <c r="B10" s="1419">
        <v>356</v>
      </c>
      <c r="C10" s="1420" t="s">
        <v>697</v>
      </c>
      <c r="D10" s="1420"/>
      <c r="E10" s="1421">
        <v>3.03</v>
      </c>
      <c r="F10" s="926"/>
    </row>
    <row r="11" spans="1:10">
      <c r="A11" s="528"/>
      <c r="B11" s="1419">
        <v>357</v>
      </c>
      <c r="C11" s="1420" t="s">
        <v>698</v>
      </c>
      <c r="D11" s="1420"/>
      <c r="E11" s="1421">
        <v>1.65</v>
      </c>
      <c r="F11" s="926"/>
    </row>
    <row r="12" spans="1:10">
      <c r="A12" s="528"/>
      <c r="B12" s="1419">
        <v>358</v>
      </c>
      <c r="C12" s="1420" t="s">
        <v>699</v>
      </c>
      <c r="D12" s="1420"/>
      <c r="E12" s="1429">
        <v>1.6</v>
      </c>
      <c r="F12" s="926"/>
    </row>
    <row r="13" spans="1:10">
      <c r="A13" s="528"/>
      <c r="B13" s="1419">
        <v>359</v>
      </c>
      <c r="C13" s="1420" t="s">
        <v>700</v>
      </c>
      <c r="D13" s="1420"/>
      <c r="E13" s="1421">
        <v>1.74</v>
      </c>
      <c r="F13" s="926"/>
    </row>
    <row r="14" spans="1:10">
      <c r="A14" s="528"/>
      <c r="B14" s="1415" t="s">
        <v>701</v>
      </c>
      <c r="C14" s="1416"/>
      <c r="D14" s="1416"/>
      <c r="E14" s="1417" t="s">
        <v>688</v>
      </c>
      <c r="F14" s="927"/>
    </row>
    <row r="15" spans="1:10">
      <c r="A15" s="528"/>
      <c r="B15" s="1422" t="s">
        <v>689</v>
      </c>
      <c r="C15" s="1422" t="s">
        <v>690</v>
      </c>
      <c r="D15" s="1422"/>
      <c r="E15" s="1418" t="s">
        <v>691</v>
      </c>
      <c r="F15" s="927"/>
    </row>
    <row r="16" spans="1:10">
      <c r="A16" s="528"/>
      <c r="B16" s="1419">
        <v>390</v>
      </c>
      <c r="C16" s="1420" t="s">
        <v>693</v>
      </c>
      <c r="D16" s="1420"/>
      <c r="E16" s="1421">
        <v>7.05</v>
      </c>
      <c r="F16" s="926"/>
    </row>
    <row r="17" spans="1:6">
      <c r="A17" s="528"/>
      <c r="B17" s="1419">
        <v>391.1</v>
      </c>
      <c r="C17" s="1420" t="s">
        <v>702</v>
      </c>
      <c r="D17" s="1420"/>
      <c r="E17" s="1421">
        <v>3.91</v>
      </c>
      <c r="F17" s="926"/>
    </row>
    <row r="18" spans="1:6">
      <c r="A18" s="528"/>
      <c r="B18" s="1419">
        <v>391.2</v>
      </c>
      <c r="C18" s="1420" t="s">
        <v>703</v>
      </c>
      <c r="D18" s="1420"/>
      <c r="E18" s="1429">
        <v>8</v>
      </c>
      <c r="F18" s="926"/>
    </row>
    <row r="19" spans="1:6">
      <c r="A19" s="528"/>
      <c r="B19" s="1419">
        <v>391.33</v>
      </c>
      <c r="C19" s="1420" t="s">
        <v>704</v>
      </c>
      <c r="D19" s="1420"/>
      <c r="E19" s="1421">
        <v>32.42</v>
      </c>
      <c r="F19" s="926"/>
    </row>
    <row r="20" spans="1:6">
      <c r="A20" s="528"/>
      <c r="B20" s="1419">
        <v>393</v>
      </c>
      <c r="C20" s="1420" t="s">
        <v>705</v>
      </c>
      <c r="D20" s="1420"/>
      <c r="E20" s="1421">
        <v>6.55</v>
      </c>
      <c r="F20" s="926"/>
    </row>
    <row r="21" spans="1:6">
      <c r="A21" s="528"/>
      <c r="B21" s="1419">
        <v>394</v>
      </c>
      <c r="C21" s="1420" t="s">
        <v>706</v>
      </c>
      <c r="D21" s="1420"/>
      <c r="E21" s="1429">
        <v>5.4</v>
      </c>
      <c r="F21" s="926"/>
    </row>
    <row r="22" spans="1:6">
      <c r="A22" s="528"/>
      <c r="B22" s="1419">
        <v>395</v>
      </c>
      <c r="C22" s="1420" t="s">
        <v>707</v>
      </c>
      <c r="D22" s="1420"/>
      <c r="E22" s="1421">
        <v>0.97</v>
      </c>
      <c r="F22" s="926"/>
    </row>
    <row r="23" spans="1:6">
      <c r="A23" s="528"/>
      <c r="B23" s="1419">
        <v>397</v>
      </c>
      <c r="C23" s="1420" t="s">
        <v>708</v>
      </c>
      <c r="D23" s="1420"/>
      <c r="E23" s="1421">
        <v>8.2899999999999991</v>
      </c>
      <c r="F23" s="926"/>
    </row>
    <row r="24" spans="1:6">
      <c r="A24" s="528"/>
      <c r="B24" s="1419">
        <v>397.64</v>
      </c>
      <c r="C24" s="1420" t="s">
        <v>709</v>
      </c>
      <c r="D24" s="1420"/>
      <c r="E24" s="1421">
        <v>10.54</v>
      </c>
      <c r="F24" s="926"/>
    </row>
    <row r="25" spans="1:6">
      <c r="A25" s="528"/>
      <c r="B25" s="1419">
        <v>398</v>
      </c>
      <c r="C25" s="1420" t="s">
        <v>710</v>
      </c>
      <c r="D25" s="1420"/>
      <c r="E25" s="1421">
        <v>4.93</v>
      </c>
      <c r="F25" s="926"/>
    </row>
    <row r="26" spans="1:6">
      <c r="A26" s="528"/>
      <c r="B26" s="1415" t="s">
        <v>711</v>
      </c>
      <c r="C26" s="1420"/>
      <c r="D26" s="1420"/>
      <c r="E26" s="1417" t="s">
        <v>688</v>
      </c>
      <c r="F26" s="926"/>
    </row>
    <row r="27" spans="1:6">
      <c r="A27" s="528"/>
      <c r="B27" s="1416" t="s">
        <v>689</v>
      </c>
      <c r="C27" s="1416" t="s">
        <v>690</v>
      </c>
      <c r="D27" s="1416"/>
      <c r="E27" s="1418" t="s">
        <v>691</v>
      </c>
      <c r="F27" s="926"/>
    </row>
    <row r="28" spans="1:6">
      <c r="A28" s="528"/>
      <c r="B28" s="1419">
        <v>390</v>
      </c>
      <c r="C28" s="1420" t="s">
        <v>693</v>
      </c>
      <c r="D28" s="1420"/>
      <c r="E28" s="1429">
        <v>2.13</v>
      </c>
      <c r="F28" s="926"/>
    </row>
    <row r="29" spans="1:6">
      <c r="A29" s="528"/>
      <c r="B29" s="1419">
        <v>391.1</v>
      </c>
      <c r="C29" s="1420" t="s">
        <v>702</v>
      </c>
      <c r="D29" s="1420"/>
      <c r="E29" s="1429">
        <v>4.63</v>
      </c>
      <c r="F29" s="927"/>
    </row>
    <row r="30" spans="1:6">
      <c r="A30" s="528"/>
      <c r="B30" s="1419">
        <v>391.2</v>
      </c>
      <c r="C30" s="1420" t="s">
        <v>703</v>
      </c>
      <c r="D30" s="1420"/>
      <c r="E30" s="1429">
        <v>6.21</v>
      </c>
      <c r="F30" s="927"/>
    </row>
    <row r="31" spans="1:6">
      <c r="A31" s="528"/>
      <c r="B31" s="1419">
        <v>391.33</v>
      </c>
      <c r="C31" s="1420" t="s">
        <v>712</v>
      </c>
      <c r="D31" s="1420"/>
      <c r="E31" s="1429">
        <v>13.47</v>
      </c>
      <c r="F31" s="928"/>
    </row>
    <row r="32" spans="1:6">
      <c r="A32" s="528"/>
      <c r="B32" s="1419">
        <v>391.36</v>
      </c>
      <c r="C32" s="1420" t="s">
        <v>713</v>
      </c>
      <c r="D32" s="1420"/>
      <c r="E32" s="1429">
        <v>10.49</v>
      </c>
      <c r="F32" s="928"/>
    </row>
    <row r="33" spans="1:6">
      <c r="A33" s="528"/>
      <c r="B33" s="1423">
        <v>392.1</v>
      </c>
      <c r="C33" s="1420" t="s">
        <v>1483</v>
      </c>
      <c r="D33" s="1420"/>
      <c r="E33" s="1429">
        <v>10.86</v>
      </c>
      <c r="F33" s="928"/>
    </row>
    <row r="34" spans="1:6">
      <c r="A34" s="528"/>
      <c r="B34" s="1423">
        <v>392.2</v>
      </c>
      <c r="C34" s="1420" t="s">
        <v>1484</v>
      </c>
      <c r="D34" s="1420"/>
      <c r="E34" s="1429">
        <v>8.34</v>
      </c>
      <c r="F34" s="928"/>
    </row>
    <row r="35" spans="1:6">
      <c r="A35" s="528"/>
      <c r="B35" s="1423">
        <v>392.3</v>
      </c>
      <c r="C35" s="1420" t="s">
        <v>1485</v>
      </c>
      <c r="D35" s="1420"/>
      <c r="E35" s="1429">
        <v>6.33</v>
      </c>
      <c r="F35" s="928"/>
    </row>
    <row r="36" spans="1:6">
      <c r="A36" s="528"/>
      <c r="B36" s="1423">
        <v>392.4</v>
      </c>
      <c r="C36" s="1420" t="s">
        <v>1486</v>
      </c>
      <c r="D36" s="1420"/>
      <c r="E36" s="1429">
        <v>5.67</v>
      </c>
      <c r="F36" s="928"/>
    </row>
    <row r="37" spans="1:6">
      <c r="A37" s="528"/>
      <c r="B37" s="1423">
        <v>392.6</v>
      </c>
      <c r="C37" s="1420" t="s">
        <v>1487</v>
      </c>
      <c r="D37" s="1424"/>
      <c r="E37" s="1429">
        <v>4.57</v>
      </c>
      <c r="F37" s="928"/>
    </row>
    <row r="38" spans="1:6">
      <c r="A38" s="528"/>
      <c r="B38" s="1423">
        <v>392.7</v>
      </c>
      <c r="C38" s="1420" t="s">
        <v>1488</v>
      </c>
      <c r="D38" s="1424"/>
      <c r="E38" s="1429">
        <v>25.42</v>
      </c>
      <c r="F38" s="928"/>
    </row>
    <row r="39" spans="1:6">
      <c r="A39" s="528"/>
      <c r="B39" s="1419">
        <v>393</v>
      </c>
      <c r="C39" s="1420" t="s">
        <v>705</v>
      </c>
      <c r="D39" s="1420"/>
      <c r="E39" s="1429">
        <v>7.66</v>
      </c>
      <c r="F39" s="928"/>
    </row>
    <row r="40" spans="1:6">
      <c r="A40" s="528"/>
      <c r="B40" s="1419">
        <v>394.1</v>
      </c>
      <c r="C40" s="1420" t="s">
        <v>714</v>
      </c>
      <c r="D40" s="1420"/>
      <c r="E40" s="1429">
        <v>3.23</v>
      </c>
      <c r="F40" s="928"/>
    </row>
    <row r="41" spans="1:6">
      <c r="A41" s="528"/>
      <c r="B41" s="1419">
        <v>394.2</v>
      </c>
      <c r="C41" s="1420" t="s">
        <v>715</v>
      </c>
      <c r="D41" s="1420"/>
      <c r="E41" s="1429">
        <v>5.28</v>
      </c>
      <c r="F41" s="928"/>
    </row>
    <row r="42" spans="1:6">
      <c r="A42" s="528"/>
      <c r="B42" s="1419">
        <v>394.3</v>
      </c>
      <c r="C42" s="1420" t="s">
        <v>716</v>
      </c>
      <c r="D42" s="1420"/>
      <c r="E42" s="1429">
        <v>7.32</v>
      </c>
      <c r="F42" s="928"/>
    </row>
    <row r="43" spans="1:6">
      <c r="A43" s="528"/>
      <c r="B43" s="1419">
        <v>395</v>
      </c>
      <c r="C43" s="1420" t="s">
        <v>707</v>
      </c>
      <c r="D43" s="1420"/>
      <c r="E43" s="1429">
        <v>4.34</v>
      </c>
      <c r="F43" s="928"/>
    </row>
    <row r="44" spans="1:6">
      <c r="A44" s="528"/>
      <c r="B44" s="1423">
        <v>396</v>
      </c>
      <c r="C44" s="1420" t="s">
        <v>1489</v>
      </c>
      <c r="D44" s="1424"/>
      <c r="E44" s="1429">
        <v>5.89</v>
      </c>
      <c r="F44" s="928"/>
    </row>
    <row r="45" spans="1:6">
      <c r="A45" s="528"/>
      <c r="B45" s="1419">
        <v>397.1</v>
      </c>
      <c r="C45" s="1420" t="s">
        <v>717</v>
      </c>
      <c r="D45" s="1420"/>
      <c r="E45" s="1429">
        <v>5.69</v>
      </c>
      <c r="F45" s="928"/>
    </row>
    <row r="46" spans="1:6">
      <c r="A46" s="528"/>
      <c r="B46" s="1419">
        <v>397.2</v>
      </c>
      <c r="C46" s="1420" t="s">
        <v>718</v>
      </c>
      <c r="D46" s="1420"/>
      <c r="E46" s="1429">
        <v>1.2</v>
      </c>
      <c r="F46" s="928"/>
    </row>
    <row r="47" spans="1:6">
      <c r="A47" s="528"/>
      <c r="B47" s="1419">
        <v>397.3</v>
      </c>
      <c r="C47" s="1420" t="s">
        <v>719</v>
      </c>
      <c r="D47" s="1420"/>
      <c r="E47" s="1429">
        <v>5.01</v>
      </c>
      <c r="F47" s="928"/>
    </row>
    <row r="48" spans="1:6">
      <c r="A48" s="528"/>
      <c r="B48" s="1419">
        <v>397.6</v>
      </c>
      <c r="C48" s="1420" t="s">
        <v>720</v>
      </c>
      <c r="D48" s="1420"/>
      <c r="E48" s="1429">
        <v>12.26</v>
      </c>
      <c r="F48" s="928"/>
    </row>
    <row r="49" spans="2:5">
      <c r="B49" s="1419">
        <v>398</v>
      </c>
      <c r="C49" s="1420" t="s">
        <v>710</v>
      </c>
      <c r="D49" s="1420"/>
      <c r="E49" s="1429">
        <v>3.63</v>
      </c>
    </row>
    <row r="50" spans="2:5" ht="12.75" customHeight="1">
      <c r="B50" s="473"/>
      <c r="C50" s="473"/>
      <c r="D50" s="473"/>
      <c r="E50" s="1425"/>
    </row>
    <row r="51" spans="2:5">
      <c r="B51" s="1681" t="s">
        <v>977</v>
      </c>
      <c r="C51" s="1681"/>
      <c r="D51" s="1681"/>
      <c r="E51" s="1681"/>
    </row>
    <row r="52" spans="2:5">
      <c r="B52" s="1681"/>
      <c r="C52" s="1681"/>
      <c r="D52" s="1681"/>
      <c r="E52" s="1681"/>
    </row>
    <row r="53" spans="2:5">
      <c r="B53" s="1681"/>
      <c r="C53" s="1681"/>
      <c r="D53" s="1681"/>
      <c r="E53" s="1681"/>
    </row>
    <row r="54" spans="2:5">
      <c r="B54" s="1681"/>
      <c r="C54" s="1681"/>
      <c r="D54" s="1681"/>
      <c r="E54" s="1681"/>
    </row>
  </sheetData>
  <mergeCells count="3">
    <mergeCell ref="A1:E1"/>
    <mergeCell ref="A2:E2"/>
    <mergeCell ref="B51:E5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6F49-2E77-4AF1-9E53-9D46D4E1416D}">
  <sheetPr>
    <pageSetUpPr fitToPage="1"/>
  </sheetPr>
  <dimension ref="A1:R316"/>
  <sheetViews>
    <sheetView topLeftCell="A274" zoomScale="80" zoomScaleNormal="80" zoomScaleSheetLayoutView="55" workbookViewId="0">
      <selection activeCell="H290" sqref="H290"/>
    </sheetView>
  </sheetViews>
  <sheetFormatPr defaultColWidth="9.1796875" defaultRowHeight="12.5"/>
  <cols>
    <col min="1" max="1" width="5.7265625" style="952" customWidth="1"/>
    <col min="2" max="2" width="11.453125" style="954" customWidth="1"/>
    <col min="3" max="3" width="75.1796875" style="952" customWidth="1"/>
    <col min="4" max="4" width="0.54296875" style="952" customWidth="1"/>
    <col min="5" max="5" width="29.1796875" style="952" customWidth="1"/>
    <col min="6" max="6" width="26.453125" style="952" customWidth="1"/>
    <col min="7" max="7" width="18.81640625" style="952" customWidth="1"/>
    <col min="8" max="8" width="27.81640625" style="952" customWidth="1"/>
    <col min="9" max="9" width="28.81640625" style="952" customWidth="1"/>
    <col min="10" max="10" width="90.453125" style="952" customWidth="1"/>
    <col min="11" max="11" width="5.7265625" style="952" customWidth="1"/>
    <col min="12" max="12" width="9.1796875" style="952"/>
    <col min="13" max="15" width="14.7265625" style="952" bestFit="1" customWidth="1"/>
    <col min="16" max="16384" width="9.1796875" style="952"/>
  </cols>
  <sheetData>
    <row r="1" spans="1:18" ht="15.5">
      <c r="A1" s="1527" t="s">
        <v>686</v>
      </c>
      <c r="B1" s="1527"/>
      <c r="C1" s="1527"/>
      <c r="D1" s="1527"/>
      <c r="E1" s="1527"/>
      <c r="F1" s="1527"/>
      <c r="G1" s="1527"/>
      <c r="H1" s="1527"/>
      <c r="I1" s="1527"/>
      <c r="J1" s="1527"/>
      <c r="K1" s="1527"/>
    </row>
    <row r="2" spans="1:18" ht="15.5">
      <c r="A2" s="1528" t="s">
        <v>897</v>
      </c>
      <c r="B2" s="1528"/>
      <c r="C2" s="1528"/>
      <c r="D2" s="1528"/>
      <c r="E2" s="1528"/>
      <c r="F2" s="1528"/>
      <c r="G2" s="1528"/>
      <c r="H2" s="1528"/>
      <c r="I2" s="1528"/>
      <c r="J2" s="1528"/>
      <c r="K2" s="1528"/>
    </row>
    <row r="3" spans="1:18" ht="15.5">
      <c r="A3" s="1527" t="s">
        <v>1074</v>
      </c>
      <c r="B3" s="1527"/>
      <c r="C3" s="1527"/>
      <c r="D3" s="1527"/>
      <c r="E3" s="1527"/>
      <c r="F3" s="1527"/>
      <c r="G3" s="1527"/>
      <c r="H3" s="1527"/>
      <c r="I3" s="1527"/>
      <c r="J3" s="1527"/>
      <c r="K3" s="1527"/>
    </row>
    <row r="4" spans="1:18" ht="13">
      <c r="B4" s="953"/>
    </row>
    <row r="5" spans="1:18" ht="13">
      <c r="I5" s="955"/>
    </row>
    <row r="6" spans="1:18" ht="13">
      <c r="B6" s="1529" t="s">
        <v>1586</v>
      </c>
      <c r="C6" s="1529"/>
      <c r="D6" s="1529"/>
      <c r="E6" s="1529"/>
      <c r="F6" s="1529"/>
      <c r="G6" s="1529"/>
      <c r="H6" s="1529"/>
      <c r="I6" s="1529"/>
      <c r="J6" s="1529"/>
    </row>
    <row r="7" spans="1:18" ht="13">
      <c r="F7" s="931" t="s">
        <v>972</v>
      </c>
      <c r="G7" s="956" t="s">
        <v>363</v>
      </c>
      <c r="H7" s="956"/>
    </row>
    <row r="8" spans="1:18" ht="13">
      <c r="F8" s="931" t="s">
        <v>1075</v>
      </c>
      <c r="G8" s="956" t="s">
        <v>348</v>
      </c>
      <c r="H8" s="956" t="s">
        <v>360</v>
      </c>
      <c r="I8" s="956" t="s">
        <v>362</v>
      </c>
    </row>
    <row r="9" spans="1:18" ht="13">
      <c r="B9" s="957" t="s">
        <v>841</v>
      </c>
      <c r="C9" s="957" t="s">
        <v>1076</v>
      </c>
      <c r="E9" s="958" t="s">
        <v>292</v>
      </c>
      <c r="F9" s="958" t="s">
        <v>973</v>
      </c>
      <c r="G9" s="959" t="s">
        <v>361</v>
      </c>
      <c r="H9" s="959" t="s">
        <v>361</v>
      </c>
      <c r="I9" s="959" t="s">
        <v>361</v>
      </c>
    </row>
    <row r="10" spans="1:18" ht="5.15" customHeight="1"/>
    <row r="11" spans="1:18">
      <c r="B11" s="954">
        <v>1</v>
      </c>
      <c r="C11" s="960" t="s">
        <v>349</v>
      </c>
      <c r="E11" s="961">
        <f>F11+G11+H11+I11</f>
        <v>3313275.1189235076</v>
      </c>
      <c r="F11" s="961">
        <f>F70</f>
        <v>0</v>
      </c>
      <c r="G11" s="961">
        <f>G70</f>
        <v>39357</v>
      </c>
      <c r="H11" s="961">
        <f>H70</f>
        <v>3273918.1189235076</v>
      </c>
      <c r="I11" s="961">
        <f>I70</f>
        <v>0</v>
      </c>
    </row>
    <row r="12" spans="1:18">
      <c r="B12" s="954">
        <f>B11+1</f>
        <v>2</v>
      </c>
      <c r="C12" s="960" t="s">
        <v>899</v>
      </c>
      <c r="E12" s="961">
        <f>F12+G12+H12+I12</f>
        <v>0</v>
      </c>
      <c r="F12" s="961">
        <v>0</v>
      </c>
      <c r="G12" s="961">
        <v>0</v>
      </c>
      <c r="H12" s="961">
        <v>0</v>
      </c>
      <c r="I12" s="961">
        <v>0</v>
      </c>
      <c r="O12" s="962"/>
      <c r="P12" s="962"/>
      <c r="Q12" s="962"/>
      <c r="R12" s="962"/>
    </row>
    <row r="13" spans="1:18">
      <c r="B13" s="954">
        <f>B12+1</f>
        <v>3</v>
      </c>
      <c r="C13" s="960" t="s">
        <v>900</v>
      </c>
      <c r="E13" s="961">
        <f>F13+G13+H13+I13</f>
        <v>-177122092.97599691</v>
      </c>
      <c r="F13" s="961">
        <f>F141</f>
        <v>0</v>
      </c>
      <c r="G13" s="961">
        <f>G141</f>
        <v>0</v>
      </c>
      <c r="H13" s="961">
        <f>H141</f>
        <v>-177122092.97599691</v>
      </c>
      <c r="I13" s="961">
        <f>I141</f>
        <v>0</v>
      </c>
      <c r="O13" s="962"/>
      <c r="P13" s="962"/>
      <c r="Q13" s="962"/>
      <c r="R13" s="962"/>
    </row>
    <row r="14" spans="1:18">
      <c r="B14" s="954">
        <f>B13+1</f>
        <v>4</v>
      </c>
      <c r="C14" s="960" t="s">
        <v>350</v>
      </c>
      <c r="E14" s="961">
        <f>F14+G14+H14+I14</f>
        <v>-12625170.476556666</v>
      </c>
      <c r="F14" s="961">
        <f>F223</f>
        <v>0</v>
      </c>
      <c r="G14" s="961">
        <f>G223</f>
        <v>0</v>
      </c>
      <c r="H14" s="961">
        <f>H223</f>
        <v>-5492746.3207221068</v>
      </c>
      <c r="I14" s="961">
        <f>I223</f>
        <v>-7132424.1558345584</v>
      </c>
      <c r="O14" s="962"/>
      <c r="P14" s="962"/>
      <c r="Q14" s="962"/>
      <c r="R14" s="962"/>
    </row>
    <row r="15" spans="1:18">
      <c r="B15" s="954">
        <f>B14+1</f>
        <v>5</v>
      </c>
      <c r="C15" s="960" t="s">
        <v>554</v>
      </c>
      <c r="E15" s="961">
        <f>F15+G15+H15+I15</f>
        <v>0</v>
      </c>
      <c r="F15" s="961">
        <f>F293</f>
        <v>0</v>
      </c>
      <c r="G15" s="961">
        <f>G293</f>
        <v>0</v>
      </c>
      <c r="H15" s="961">
        <f>H293</f>
        <v>0</v>
      </c>
      <c r="I15" s="961">
        <f>I293</f>
        <v>0</v>
      </c>
      <c r="O15" s="962"/>
      <c r="P15" s="962"/>
      <c r="Q15" s="962"/>
      <c r="R15" s="962"/>
    </row>
    <row r="16" spans="1:18" ht="5.15" customHeight="1">
      <c r="E16" s="963"/>
      <c r="F16" s="963"/>
      <c r="G16" s="963"/>
      <c r="H16" s="963"/>
      <c r="I16" s="963"/>
    </row>
    <row r="17" spans="2:10" ht="13">
      <c r="B17" s="954">
        <f>B16+6</f>
        <v>6</v>
      </c>
      <c r="C17" s="964" t="s">
        <v>901</v>
      </c>
      <c r="E17" s="961">
        <f>E11+E12+E13+E14+E15</f>
        <v>-186433988.33363006</v>
      </c>
      <c r="F17" s="961">
        <f>F11+F12+F13+F14+F15</f>
        <v>0</v>
      </c>
      <c r="G17" s="961">
        <f>G11+G12+G13+G14+G15</f>
        <v>39357</v>
      </c>
      <c r="H17" s="961">
        <f>H11+H12+H13+H14+H15</f>
        <v>-179340921.1777955</v>
      </c>
      <c r="I17" s="961">
        <f>I11+I12+I13+I14+I15</f>
        <v>-7132424.1558345584</v>
      </c>
      <c r="J17" s="965"/>
    </row>
    <row r="18" spans="2:10">
      <c r="C18" s="954"/>
      <c r="F18" s="962"/>
      <c r="G18" s="962"/>
      <c r="H18" s="962"/>
      <c r="I18" s="966"/>
    </row>
    <row r="19" spans="2:10">
      <c r="C19" s="954"/>
      <c r="F19" s="962"/>
      <c r="G19" s="962"/>
      <c r="H19" s="962"/>
      <c r="I19" s="966"/>
    </row>
    <row r="20" spans="2:10" ht="13">
      <c r="B20" s="967" t="s">
        <v>841</v>
      </c>
      <c r="C20" s="967" t="s">
        <v>902</v>
      </c>
      <c r="D20" s="968"/>
      <c r="E20" s="958" t="s">
        <v>292</v>
      </c>
      <c r="F20" s="968"/>
      <c r="G20" s="968"/>
      <c r="H20" s="1498"/>
      <c r="I20" s="969"/>
    </row>
    <row r="21" spans="2:10">
      <c r="B21" s="968"/>
      <c r="C21" s="968"/>
      <c r="D21" s="968"/>
      <c r="E21" s="968"/>
      <c r="F21" s="968"/>
      <c r="G21" s="968"/>
      <c r="H21" s="1498"/>
      <c r="I21" s="969"/>
    </row>
    <row r="22" spans="2:10">
      <c r="B22" s="970">
        <f>B17+1</f>
        <v>7</v>
      </c>
      <c r="C22" s="952" t="s">
        <v>903</v>
      </c>
      <c r="E22" s="971">
        <f>-2143395</f>
        <v>-2143395</v>
      </c>
      <c r="F22" s="968"/>
      <c r="G22" s="968"/>
      <c r="H22" s="968"/>
    </row>
    <row r="23" spans="2:10">
      <c r="B23" s="952"/>
    </row>
    <row r="24" spans="2:10" ht="12.75" customHeight="1">
      <c r="B24" s="1530" t="s">
        <v>1469</v>
      </c>
      <c r="C24" s="1530"/>
      <c r="D24" s="1530"/>
      <c r="E24" s="1530"/>
      <c r="F24" s="1530"/>
      <c r="G24" s="1530"/>
      <c r="H24" s="1530"/>
      <c r="I24" s="1530"/>
    </row>
    <row r="25" spans="2:10">
      <c r="B25" s="1530"/>
      <c r="C25" s="1530"/>
      <c r="D25" s="1530"/>
      <c r="E25" s="1530"/>
      <c r="F25" s="1530"/>
      <c r="G25" s="1530"/>
      <c r="H25" s="1530"/>
      <c r="I25" s="1530"/>
    </row>
    <row r="26" spans="2:10">
      <c r="B26" s="1530"/>
      <c r="C26" s="1530"/>
      <c r="D26" s="1530"/>
      <c r="E26" s="1530"/>
      <c r="F26" s="1530"/>
      <c r="G26" s="1530"/>
      <c r="H26" s="1530"/>
      <c r="I26" s="1530"/>
    </row>
    <row r="27" spans="2:10">
      <c r="B27" s="968"/>
      <c r="C27" s="968"/>
      <c r="D27" s="968"/>
      <c r="E27" s="968"/>
      <c r="F27" s="968"/>
      <c r="G27" s="968"/>
      <c r="H27" s="968"/>
      <c r="I27" s="969"/>
    </row>
    <row r="29" spans="2:10" ht="15" customHeight="1">
      <c r="B29" s="1530" t="s">
        <v>963</v>
      </c>
      <c r="C29" s="1530"/>
      <c r="D29" s="1530"/>
      <c r="E29" s="1530"/>
      <c r="F29" s="1530"/>
      <c r="G29" s="1530"/>
      <c r="H29" s="1530"/>
      <c r="I29" s="1530"/>
      <c r="J29" s="973"/>
    </row>
    <row r="30" spans="2:10">
      <c r="B30" s="1530"/>
      <c r="C30" s="1530"/>
      <c r="D30" s="1530"/>
      <c r="E30" s="1530"/>
      <c r="F30" s="1530"/>
      <c r="G30" s="1530"/>
      <c r="H30" s="1530"/>
      <c r="I30" s="1530"/>
      <c r="J30" s="973"/>
    </row>
    <row r="31" spans="2:10" ht="13">
      <c r="I31" s="955"/>
      <c r="J31" s="952" t="s">
        <v>154</v>
      </c>
    </row>
    <row r="32" spans="2:10" ht="13">
      <c r="B32" s="931" t="s">
        <v>799</v>
      </c>
      <c r="C32" s="931"/>
      <c r="D32" s="931"/>
      <c r="E32" s="931" t="s">
        <v>800</v>
      </c>
      <c r="F32" s="931" t="s">
        <v>801</v>
      </c>
      <c r="G32" s="931" t="s">
        <v>802</v>
      </c>
      <c r="H32" s="931" t="s">
        <v>962</v>
      </c>
      <c r="I32" s="931" t="s">
        <v>804</v>
      </c>
      <c r="J32" s="1499"/>
    </row>
    <row r="33" spans="2:10" ht="13">
      <c r="B33" s="964"/>
      <c r="C33" s="968"/>
      <c r="D33" s="968"/>
      <c r="E33" s="931"/>
      <c r="F33" s="931" t="s">
        <v>972</v>
      </c>
      <c r="G33" s="931" t="s">
        <v>363</v>
      </c>
      <c r="H33" s="931"/>
      <c r="I33" s="931"/>
      <c r="J33" s="968"/>
    </row>
    <row r="34" spans="2:10" ht="13">
      <c r="B34" s="974"/>
      <c r="C34" s="968"/>
      <c r="D34" s="968"/>
      <c r="E34" s="931"/>
      <c r="F34" s="931" t="s">
        <v>1075</v>
      </c>
      <c r="G34" s="931" t="s">
        <v>348</v>
      </c>
      <c r="H34" s="931" t="s">
        <v>360</v>
      </c>
      <c r="I34" s="931" t="s">
        <v>362</v>
      </c>
      <c r="J34" s="968"/>
    </row>
    <row r="35" spans="2:10" ht="13">
      <c r="B35" s="964" t="s">
        <v>1077</v>
      </c>
      <c r="C35" s="968"/>
      <c r="D35" s="968"/>
      <c r="E35" s="931" t="s">
        <v>292</v>
      </c>
      <c r="F35" s="958" t="s">
        <v>973</v>
      </c>
      <c r="G35" s="931" t="s">
        <v>361</v>
      </c>
      <c r="H35" s="931" t="s">
        <v>361</v>
      </c>
      <c r="I35" s="931" t="s">
        <v>361</v>
      </c>
      <c r="J35" s="931" t="s">
        <v>111</v>
      </c>
    </row>
    <row r="36" spans="2:10">
      <c r="B36" s="1229" t="s">
        <v>1297</v>
      </c>
      <c r="C36" s="1447"/>
      <c r="D36" s="1450"/>
      <c r="E36" s="1448">
        <f t="shared" ref="E36" si="0">SUM(F36:I36)</f>
        <v>48708566</v>
      </c>
      <c r="F36" s="1458">
        <v>15732867</v>
      </c>
      <c r="G36" s="1458">
        <v>0</v>
      </c>
      <c r="H36" s="1458">
        <v>0</v>
      </c>
      <c r="I36" s="1458">
        <v>32975699</v>
      </c>
      <c r="J36" s="1449" t="s">
        <v>1601</v>
      </c>
    </row>
    <row r="37" spans="2:10" ht="25">
      <c r="B37" s="1229" t="s">
        <v>1563</v>
      </c>
      <c r="C37" s="1447"/>
      <c r="D37" s="1450"/>
      <c r="E37" s="1458">
        <f t="shared" ref="E37:E53" si="1">SUM(F37:I37)</f>
        <v>536876</v>
      </c>
      <c r="F37" s="1458">
        <v>497519</v>
      </c>
      <c r="G37" s="1458">
        <v>39357</v>
      </c>
      <c r="H37" s="1458">
        <v>0</v>
      </c>
      <c r="I37" s="1458">
        <v>0</v>
      </c>
      <c r="J37" s="1449" t="s">
        <v>1587</v>
      </c>
    </row>
    <row r="38" spans="2:10" ht="25">
      <c r="B38" s="1229" t="s">
        <v>858</v>
      </c>
      <c r="C38" s="1447"/>
      <c r="D38" s="1447"/>
      <c r="E38" s="1458">
        <f t="shared" si="1"/>
        <v>1532772.8127309999</v>
      </c>
      <c r="F38" s="1458">
        <v>1532772.8127309999</v>
      </c>
      <c r="G38" s="1458">
        <v>0</v>
      </c>
      <c r="H38" s="1458">
        <v>0</v>
      </c>
      <c r="I38" s="1458">
        <v>0</v>
      </c>
      <c r="J38" s="1449" t="s">
        <v>1607</v>
      </c>
    </row>
    <row r="39" spans="2:10" ht="25">
      <c r="B39" s="1229" t="s">
        <v>1590</v>
      </c>
      <c r="C39" s="1447"/>
      <c r="D39" s="1447"/>
      <c r="E39" s="1458">
        <f t="shared" si="1"/>
        <v>20774974.755825002</v>
      </c>
      <c r="F39" s="1458">
        <v>20774974.755825002</v>
      </c>
      <c r="G39" s="1458">
        <v>0</v>
      </c>
      <c r="H39" s="1458">
        <v>0</v>
      </c>
      <c r="I39" s="1458">
        <v>0</v>
      </c>
      <c r="J39" s="1449" t="s">
        <v>1607</v>
      </c>
    </row>
    <row r="40" spans="2:10" ht="25">
      <c r="B40" s="1229" t="s">
        <v>1591</v>
      </c>
      <c r="C40" s="1447"/>
      <c r="D40" s="1447"/>
      <c r="E40" s="1458">
        <f t="shared" si="1"/>
        <v>2503311.7734900005</v>
      </c>
      <c r="F40" s="1458">
        <v>2503311.7734900005</v>
      </c>
      <c r="G40" s="1458">
        <v>0</v>
      </c>
      <c r="H40" s="1458">
        <v>0</v>
      </c>
      <c r="I40" s="1458">
        <v>0</v>
      </c>
      <c r="J40" s="1449" t="s">
        <v>1607</v>
      </c>
    </row>
    <row r="41" spans="2:10" ht="25">
      <c r="B41" s="1229" t="s">
        <v>1298</v>
      </c>
      <c r="C41" s="1447"/>
      <c r="D41" s="1447"/>
      <c r="E41" s="1458">
        <f t="shared" si="1"/>
        <v>1356111.4395696523</v>
      </c>
      <c r="F41" s="1458">
        <v>1356111.4395696523</v>
      </c>
      <c r="G41" s="1458">
        <v>0</v>
      </c>
      <c r="H41" s="1458">
        <v>0</v>
      </c>
      <c r="I41" s="1458">
        <v>0</v>
      </c>
      <c r="J41" s="1449" t="s">
        <v>1607</v>
      </c>
    </row>
    <row r="42" spans="2:10" ht="25">
      <c r="B42" s="1229" t="s">
        <v>1292</v>
      </c>
      <c r="C42" s="1447"/>
      <c r="D42" s="1447"/>
      <c r="E42" s="1458">
        <f t="shared" si="1"/>
        <v>13206369.786367502</v>
      </c>
      <c r="F42" s="1458">
        <v>13206369.786367502</v>
      </c>
      <c r="G42" s="1458">
        <v>0</v>
      </c>
      <c r="H42" s="1458">
        <v>0</v>
      </c>
      <c r="I42" s="1458">
        <v>0</v>
      </c>
      <c r="J42" s="1449" t="s">
        <v>1607</v>
      </c>
    </row>
    <row r="43" spans="2:10" ht="25">
      <c r="B43" s="1229" t="s">
        <v>1506</v>
      </c>
      <c r="C43" s="1447"/>
      <c r="D43" s="1447"/>
      <c r="E43" s="1458">
        <f t="shared" si="1"/>
        <v>1860291.5923102498</v>
      </c>
      <c r="F43" s="1458">
        <v>1860291.5923102498</v>
      </c>
      <c r="G43" s="1458">
        <v>0</v>
      </c>
      <c r="H43" s="1458">
        <v>0</v>
      </c>
      <c r="I43" s="1458">
        <v>0</v>
      </c>
      <c r="J43" s="1449" t="s">
        <v>1602</v>
      </c>
    </row>
    <row r="44" spans="2:10" ht="25">
      <c r="B44" s="1229" t="s">
        <v>1505</v>
      </c>
      <c r="C44" s="1447"/>
      <c r="D44" s="1447"/>
      <c r="E44" s="1458">
        <f t="shared" si="1"/>
        <v>1559211.6827790674</v>
      </c>
      <c r="F44" s="1458">
        <v>1559211.6827790674</v>
      </c>
      <c r="G44" s="1458">
        <v>0</v>
      </c>
      <c r="H44" s="1458">
        <v>0</v>
      </c>
      <c r="I44" s="1458">
        <v>0</v>
      </c>
      <c r="J44" s="1449" t="s">
        <v>1602</v>
      </c>
    </row>
    <row r="45" spans="2:10" ht="25">
      <c r="B45" s="1229" t="s">
        <v>1503</v>
      </c>
      <c r="C45" s="1447"/>
      <c r="D45" s="1447"/>
      <c r="E45" s="1458">
        <f t="shared" si="1"/>
        <v>17535969.172032747</v>
      </c>
      <c r="F45" s="1458">
        <v>17535969.172032747</v>
      </c>
      <c r="G45" s="1458">
        <v>0</v>
      </c>
      <c r="H45" s="1458">
        <v>0</v>
      </c>
      <c r="I45" s="1458">
        <v>0</v>
      </c>
      <c r="J45" s="1449" t="s">
        <v>1607</v>
      </c>
    </row>
    <row r="46" spans="2:10" ht="25">
      <c r="B46" s="1229" t="s">
        <v>1507</v>
      </c>
      <c r="C46" s="1447"/>
      <c r="D46" s="1447"/>
      <c r="E46" s="1458">
        <f t="shared" si="1"/>
        <v>5705183.4372419994</v>
      </c>
      <c r="F46" s="1458">
        <v>5705183.4372419994</v>
      </c>
      <c r="G46" s="1458">
        <v>0</v>
      </c>
      <c r="H46" s="1458">
        <v>0</v>
      </c>
      <c r="I46" s="1458">
        <v>0</v>
      </c>
      <c r="J46" s="1449" t="s">
        <v>1607</v>
      </c>
    </row>
    <row r="47" spans="2:10" ht="25">
      <c r="B47" s="1229" t="s">
        <v>1510</v>
      </c>
      <c r="C47" s="1447"/>
      <c r="D47" s="1447"/>
      <c r="E47" s="1458">
        <f t="shared" si="1"/>
        <v>249407.337825</v>
      </c>
      <c r="F47" s="1458">
        <v>249407.337825</v>
      </c>
      <c r="G47" s="1458">
        <v>0</v>
      </c>
      <c r="H47" s="1458">
        <v>0</v>
      </c>
      <c r="I47" s="1458">
        <v>0</v>
      </c>
      <c r="J47" s="1449" t="s">
        <v>1607</v>
      </c>
    </row>
    <row r="48" spans="2:10" ht="25">
      <c r="B48" s="1229" t="s">
        <v>1504</v>
      </c>
      <c r="C48" s="1447"/>
      <c r="D48" s="1447"/>
      <c r="E48" s="1458">
        <f t="shared" si="1"/>
        <v>7117107.1276207492</v>
      </c>
      <c r="F48" s="1458">
        <v>7117107.1276207492</v>
      </c>
      <c r="G48" s="1458">
        <v>0</v>
      </c>
      <c r="H48" s="1458">
        <v>0</v>
      </c>
      <c r="I48" s="1458">
        <v>0</v>
      </c>
      <c r="J48" s="1449" t="s">
        <v>1607</v>
      </c>
    </row>
    <row r="49" spans="2:10" ht="25">
      <c r="B49" s="1229" t="s">
        <v>1589</v>
      </c>
      <c r="C49" s="1447"/>
      <c r="D49" s="1447"/>
      <c r="E49" s="1458">
        <f t="shared" si="1"/>
        <v>3196823.0174122499</v>
      </c>
      <c r="F49" s="1458">
        <v>3196823.0174122499</v>
      </c>
      <c r="G49" s="1458">
        <v>0</v>
      </c>
      <c r="H49" s="1458">
        <v>0</v>
      </c>
      <c r="I49" s="1458">
        <v>0</v>
      </c>
      <c r="J49" s="1449" t="s">
        <v>1607</v>
      </c>
    </row>
    <row r="50" spans="2:10" ht="25">
      <c r="B50" s="1229" t="s">
        <v>1608</v>
      </c>
      <c r="C50" s="1447"/>
      <c r="D50" s="1447"/>
      <c r="E50" s="1458">
        <f t="shared" si="1"/>
        <v>763335.72517500003</v>
      </c>
      <c r="F50" s="1458">
        <v>763335.72517500003</v>
      </c>
      <c r="G50" s="1458">
        <v>0</v>
      </c>
      <c r="H50" s="1458">
        <v>0</v>
      </c>
      <c r="I50" s="1458">
        <v>0</v>
      </c>
      <c r="J50" s="1449" t="s">
        <v>1607</v>
      </c>
    </row>
    <row r="51" spans="2:10" ht="25">
      <c r="B51" s="1229" t="s">
        <v>1609</v>
      </c>
      <c r="C51" s="1447"/>
      <c r="D51" s="1447"/>
      <c r="E51" s="1458">
        <f t="shared" si="1"/>
        <v>8171577.9780299999</v>
      </c>
      <c r="F51" s="1458">
        <v>8171577.9780299999</v>
      </c>
      <c r="G51" s="1458">
        <v>0</v>
      </c>
      <c r="H51" s="1458">
        <v>0</v>
      </c>
      <c r="I51" s="1458">
        <v>0</v>
      </c>
      <c r="J51" s="1449" t="s">
        <v>1607</v>
      </c>
    </row>
    <row r="52" spans="2:10" ht="25">
      <c r="B52" s="1229" t="s">
        <v>1295</v>
      </c>
      <c r="C52" s="1447"/>
      <c r="D52" s="1447"/>
      <c r="E52" s="1458">
        <f t="shared" si="1"/>
        <v>2008865.5064685</v>
      </c>
      <c r="F52" s="1458">
        <v>2008865.5064685</v>
      </c>
      <c r="G52" s="1458">
        <v>0</v>
      </c>
      <c r="H52" s="1458">
        <v>0</v>
      </c>
      <c r="I52" s="1458">
        <v>0</v>
      </c>
      <c r="J52" s="1449" t="s">
        <v>1607</v>
      </c>
    </row>
    <row r="53" spans="2:10" ht="37.5">
      <c r="B53" s="1229" t="s">
        <v>1508</v>
      </c>
      <c r="C53" s="1447"/>
      <c r="D53" s="1450"/>
      <c r="E53" s="1458">
        <f t="shared" si="1"/>
        <v>74417224</v>
      </c>
      <c r="F53" s="1458">
        <v>60672518.818109103</v>
      </c>
      <c r="G53" s="1458">
        <v>0</v>
      </c>
      <c r="H53" s="1458">
        <v>13744705.181890899</v>
      </c>
      <c r="I53" s="1458">
        <v>0</v>
      </c>
      <c r="J53" s="1449" t="s">
        <v>1610</v>
      </c>
    </row>
    <row r="54" spans="2:10" ht="62.5">
      <c r="B54" s="1229" t="s">
        <v>1293</v>
      </c>
      <c r="C54" s="1447"/>
      <c r="D54" s="1450"/>
      <c r="E54" s="1448">
        <f>SUM(F54:I54)</f>
        <v>560221</v>
      </c>
      <c r="F54" s="1458">
        <v>413025</v>
      </c>
      <c r="G54" s="1458">
        <v>0</v>
      </c>
      <c r="H54" s="1458">
        <v>147196</v>
      </c>
      <c r="I54" s="1458">
        <v>0</v>
      </c>
      <c r="J54" s="1449" t="s">
        <v>1604</v>
      </c>
    </row>
    <row r="55" spans="2:10" ht="37.5">
      <c r="B55" s="1229" t="s">
        <v>1603</v>
      </c>
      <c r="C55" s="1447"/>
      <c r="D55" s="1451"/>
      <c r="E55" s="1452">
        <f t="shared" ref="E55" si="2">SUM(F55:I55)</f>
        <v>188031856</v>
      </c>
      <c r="F55" s="1458">
        <v>138642177</v>
      </c>
      <c r="G55" s="1458">
        <v>49389679</v>
      </c>
      <c r="H55" s="1458"/>
      <c r="I55" s="1458">
        <v>0</v>
      </c>
      <c r="J55" s="1449" t="s">
        <v>1305</v>
      </c>
    </row>
    <row r="56" spans="2:10">
      <c r="B56" s="975"/>
      <c r="C56" s="976"/>
      <c r="D56" s="979"/>
      <c r="E56" s="977"/>
      <c r="F56" s="977"/>
      <c r="G56" s="977"/>
      <c r="H56" s="977"/>
      <c r="I56" s="977"/>
      <c r="J56" s="978"/>
    </row>
    <row r="57" spans="2:10" ht="13">
      <c r="B57" s="817" t="s">
        <v>1078</v>
      </c>
      <c r="C57" s="981"/>
      <c r="D57" s="982"/>
      <c r="E57" s="1224">
        <f>SUM(E36:E56)</f>
        <v>399796056.14487875</v>
      </c>
      <c r="F57" s="1224">
        <f>SUM(F36:F56)</f>
        <v>303499419.96298778</v>
      </c>
      <c r="G57" s="1224">
        <f>SUM(G36:G56)</f>
        <v>49429036</v>
      </c>
      <c r="H57" s="1224">
        <f>SUM(H36:H56)</f>
        <v>13891901.181890899</v>
      </c>
      <c r="I57" s="1224">
        <f>SUM(I36:I56)</f>
        <v>32975699</v>
      </c>
      <c r="J57" s="983"/>
    </row>
    <row r="58" spans="2:10" ht="13">
      <c r="B58" s="816"/>
      <c r="C58" s="982"/>
      <c r="D58" s="982"/>
      <c r="E58" s="1224"/>
      <c r="F58" s="1224"/>
      <c r="G58" s="1224"/>
      <c r="H58" s="1224"/>
      <c r="I58" s="1224"/>
      <c r="J58" s="983"/>
    </row>
    <row r="59" spans="2:10">
      <c r="B59" s="984" t="s">
        <v>904</v>
      </c>
      <c r="C59" s="985"/>
      <c r="D59" s="985"/>
      <c r="E59" s="1225">
        <f>SUM(F59:I59)</f>
        <v>0</v>
      </c>
      <c r="F59" s="1226">
        <v>0</v>
      </c>
      <c r="G59" s="1226">
        <v>0</v>
      </c>
      <c r="H59" s="1226">
        <v>0</v>
      </c>
      <c r="I59" s="1226">
        <v>0</v>
      </c>
      <c r="J59" s="818"/>
    </row>
    <row r="60" spans="2:10">
      <c r="B60" s="984" t="s">
        <v>905</v>
      </c>
      <c r="C60" s="985"/>
      <c r="D60" s="985"/>
      <c r="E60" s="1225">
        <f>SUM(F60:I60)</f>
        <v>-560221</v>
      </c>
      <c r="F60" s="1226">
        <f>-F54</f>
        <v>-413025</v>
      </c>
      <c r="G60" s="1226">
        <v>0</v>
      </c>
      <c r="H60" s="1226">
        <f>-H54</f>
        <v>-147196</v>
      </c>
      <c r="I60" s="1226">
        <v>0</v>
      </c>
      <c r="J60" s="818"/>
    </row>
    <row r="61" spans="2:10">
      <c r="B61" s="984" t="s">
        <v>906</v>
      </c>
      <c r="C61" s="985"/>
      <c r="D61" s="985"/>
      <c r="E61" s="1225">
        <f>SUM(F61:I61)</f>
        <v>-188031856</v>
      </c>
      <c r="F61" s="1226">
        <f>-F55</f>
        <v>-138642177</v>
      </c>
      <c r="G61" s="1226">
        <f>-G55</f>
        <v>-49389679</v>
      </c>
      <c r="H61" s="1226">
        <f>-H55</f>
        <v>0</v>
      </c>
      <c r="I61" s="1226">
        <v>0</v>
      </c>
      <c r="J61" s="818"/>
    </row>
    <row r="62" spans="2:10">
      <c r="B62" s="984" t="s">
        <v>907</v>
      </c>
      <c r="C62" s="985"/>
      <c r="D62" s="985"/>
      <c r="E62" s="1225">
        <f>SUM(F62:I62)</f>
        <v>-48708566</v>
      </c>
      <c r="F62" s="1226">
        <v>-15732867</v>
      </c>
      <c r="G62" s="1226">
        <v>0</v>
      </c>
      <c r="H62" s="1226">
        <v>0</v>
      </c>
      <c r="I62" s="1226">
        <f>-32975699</f>
        <v>-32975699</v>
      </c>
      <c r="J62" s="818"/>
    </row>
    <row r="63" spans="2:10" ht="5.15" customHeight="1">
      <c r="B63" s="817"/>
      <c r="C63" s="981"/>
      <c r="D63" s="982"/>
      <c r="E63" s="1224"/>
      <c r="F63" s="1224"/>
      <c r="G63" s="1224"/>
      <c r="H63" s="1224"/>
      <c r="I63" s="1224"/>
      <c r="J63" s="983"/>
    </row>
    <row r="64" spans="2:10" ht="13">
      <c r="B64" s="816" t="s">
        <v>1079</v>
      </c>
      <c r="C64" s="982"/>
      <c r="D64" s="982"/>
      <c r="E64" s="1224">
        <f>SUM(E59:E63)+E57</f>
        <v>162495413.14487875</v>
      </c>
      <c r="F64" s="1224">
        <f>SUM(F59:F63)+F57</f>
        <v>148711350.96298778</v>
      </c>
      <c r="G64" s="1224">
        <f>SUM(G59:G63)+G57</f>
        <v>39357</v>
      </c>
      <c r="H64" s="1224">
        <f>SUM(H59:H63)+H57</f>
        <v>13744705.181890899</v>
      </c>
      <c r="I64" s="1224">
        <f>SUM(I59:I63)+I57</f>
        <v>0</v>
      </c>
      <c r="J64" s="983"/>
    </row>
    <row r="65" spans="2:10" ht="13">
      <c r="B65" s="816"/>
      <c r="C65" s="982"/>
      <c r="D65" s="982"/>
      <c r="E65" s="1224"/>
      <c r="F65" s="1224"/>
      <c r="G65" s="1224"/>
      <c r="H65" s="1224"/>
      <c r="I65" s="1224"/>
      <c r="J65" s="983"/>
    </row>
    <row r="66" spans="2:10" ht="13">
      <c r="B66" s="986" t="s">
        <v>266</v>
      </c>
      <c r="C66" s="987"/>
      <c r="D66" s="988"/>
      <c r="E66" s="989"/>
      <c r="F66" s="989"/>
      <c r="G66" s="989"/>
      <c r="H66" s="989"/>
      <c r="I66" s="990">
        <f>'ATT H-2A'!$H$20</f>
        <v>0.13143233299925774</v>
      </c>
      <c r="J66" s="991"/>
    </row>
    <row r="67" spans="2:10" ht="13">
      <c r="B67" s="986" t="s">
        <v>135</v>
      </c>
      <c r="C67" s="987"/>
      <c r="D67" s="988"/>
      <c r="E67" s="989"/>
      <c r="F67" s="989"/>
      <c r="G67" s="989"/>
      <c r="H67" s="990">
        <f>'ATT H-2A'!$H$36</f>
        <v>0.2381948594457306</v>
      </c>
      <c r="I67" s="989"/>
      <c r="J67" s="991"/>
    </row>
    <row r="68" spans="2:10" ht="13">
      <c r="B68" s="986" t="s">
        <v>908</v>
      </c>
      <c r="C68" s="987"/>
      <c r="D68" s="988"/>
      <c r="E68" s="989"/>
      <c r="F68" s="989"/>
      <c r="G68" s="990">
        <v>1</v>
      </c>
      <c r="H68" s="989"/>
      <c r="I68" s="989"/>
      <c r="J68" s="991"/>
    </row>
    <row r="69" spans="2:10" ht="13">
      <c r="B69" s="986" t="s">
        <v>909</v>
      </c>
      <c r="C69" s="987"/>
      <c r="D69" s="988"/>
      <c r="E69" s="989"/>
      <c r="F69" s="990">
        <v>0</v>
      </c>
      <c r="G69" s="989"/>
      <c r="H69" s="989"/>
      <c r="I69" s="989"/>
      <c r="J69" s="991"/>
    </row>
    <row r="70" spans="2:10" ht="13">
      <c r="B70" s="992" t="s">
        <v>910</v>
      </c>
      <c r="C70" s="987"/>
      <c r="D70" s="988"/>
      <c r="E70" s="989">
        <f>F70+G70+H70+I70</f>
        <v>3313275.1189235076</v>
      </c>
      <c r="F70" s="989">
        <f>F69*F64</f>
        <v>0</v>
      </c>
      <c r="G70" s="989">
        <f>G64*G68</f>
        <v>39357</v>
      </c>
      <c r="H70" s="989">
        <f>H64*H67</f>
        <v>3273918.1189235076</v>
      </c>
      <c r="I70" s="989">
        <f>I66*I64</f>
        <v>0</v>
      </c>
      <c r="J70" s="991"/>
    </row>
    <row r="71" spans="2:10" ht="13">
      <c r="B71" s="993"/>
      <c r="E71" s="962"/>
      <c r="F71" s="962"/>
      <c r="G71" s="962"/>
      <c r="H71" s="962"/>
      <c r="I71" s="676"/>
    </row>
    <row r="72" spans="2:10" ht="13">
      <c r="B72" s="964"/>
      <c r="E72" s="962"/>
      <c r="F72" s="962"/>
      <c r="G72" s="962"/>
      <c r="H72" s="962"/>
      <c r="I72" s="962"/>
    </row>
    <row r="73" spans="2:10" ht="13">
      <c r="B73" s="931" t="s">
        <v>799</v>
      </c>
      <c r="C73" s="931"/>
      <c r="D73" s="931"/>
      <c r="E73" s="931" t="s">
        <v>800</v>
      </c>
      <c r="F73" s="931" t="s">
        <v>801</v>
      </c>
      <c r="G73" s="931" t="s">
        <v>802</v>
      </c>
      <c r="H73" s="931" t="s">
        <v>962</v>
      </c>
      <c r="I73" s="931" t="s">
        <v>804</v>
      </c>
      <c r="J73" s="931" t="s">
        <v>805</v>
      </c>
    </row>
    <row r="74" spans="2:10" ht="13">
      <c r="B74" s="964"/>
      <c r="C74" s="968"/>
      <c r="D74" s="968"/>
      <c r="E74" s="931"/>
      <c r="F74" s="931" t="s">
        <v>972</v>
      </c>
      <c r="G74" s="931" t="s">
        <v>363</v>
      </c>
      <c r="H74" s="931"/>
      <c r="I74" s="931"/>
      <c r="J74" s="968"/>
    </row>
    <row r="75" spans="2:10" ht="13">
      <c r="B75" s="974"/>
      <c r="C75" s="968"/>
      <c r="D75" s="968"/>
      <c r="E75" s="931"/>
      <c r="F75" s="931" t="s">
        <v>1075</v>
      </c>
      <c r="G75" s="931" t="s">
        <v>348</v>
      </c>
      <c r="H75" s="931" t="s">
        <v>360</v>
      </c>
      <c r="I75" s="931" t="s">
        <v>362</v>
      </c>
      <c r="J75" s="968"/>
    </row>
    <row r="76" spans="2:10" ht="13">
      <c r="B76" s="964" t="s">
        <v>1080</v>
      </c>
      <c r="C76" s="968"/>
      <c r="D76" s="968"/>
      <c r="E76" s="931" t="s">
        <v>292</v>
      </c>
      <c r="F76" s="958" t="s">
        <v>973</v>
      </c>
      <c r="G76" s="931" t="s">
        <v>361</v>
      </c>
      <c r="H76" s="931" t="s">
        <v>361</v>
      </c>
      <c r="I76" s="931" t="s">
        <v>361</v>
      </c>
      <c r="J76" s="931" t="s">
        <v>111</v>
      </c>
    </row>
    <row r="77" spans="2:10" ht="25">
      <c r="B77" s="1235" t="s">
        <v>1588</v>
      </c>
      <c r="C77" s="995"/>
      <c r="D77" s="996"/>
      <c r="E77" s="1458">
        <f t="shared" ref="E77" si="3">SUM(F77:I77)</f>
        <v>0</v>
      </c>
      <c r="F77" s="1458">
        <v>0</v>
      </c>
      <c r="G77" s="1458">
        <v>0</v>
      </c>
      <c r="H77" s="1458">
        <v>0</v>
      </c>
      <c r="I77" s="1458">
        <v>0</v>
      </c>
      <c r="J77" s="1449" t="s">
        <v>1611</v>
      </c>
    </row>
    <row r="78" spans="2:10">
      <c r="B78" s="1227"/>
      <c r="C78" s="995"/>
      <c r="D78" s="997"/>
      <c r="E78" s="1226"/>
      <c r="F78" s="1226"/>
      <c r="G78" s="1226"/>
      <c r="H78" s="1226"/>
      <c r="I78" s="1226"/>
      <c r="J78" s="1228"/>
    </row>
    <row r="79" spans="2:10">
      <c r="B79" s="1227"/>
      <c r="C79" s="995"/>
      <c r="D79" s="997"/>
      <c r="E79" s="1226"/>
      <c r="F79" s="1226"/>
      <c r="G79" s="1226"/>
      <c r="H79" s="1226"/>
      <c r="I79" s="1226"/>
      <c r="J79" s="1228"/>
    </row>
    <row r="80" spans="2:10">
      <c r="B80" s="1227"/>
      <c r="C80" s="995"/>
      <c r="D80" s="997"/>
      <c r="E80" s="1226"/>
      <c r="F80" s="1226"/>
      <c r="G80" s="1226"/>
      <c r="H80" s="1226"/>
      <c r="I80" s="1226"/>
      <c r="J80" s="1228"/>
    </row>
    <row r="81" spans="2:10">
      <c r="B81" s="1227"/>
      <c r="C81" s="995"/>
      <c r="D81" s="997"/>
      <c r="E81" s="1226"/>
      <c r="F81" s="1226"/>
      <c r="G81" s="1226"/>
      <c r="H81" s="1226"/>
      <c r="I81" s="1226"/>
      <c r="J81" s="1228"/>
    </row>
    <row r="82" spans="2:10">
      <c r="B82" s="1227"/>
      <c r="C82" s="995"/>
      <c r="D82" s="997"/>
      <c r="E82" s="1226"/>
      <c r="F82" s="1226"/>
      <c r="G82" s="1226"/>
      <c r="H82" s="1226"/>
      <c r="I82" s="1226"/>
      <c r="J82" s="1228"/>
    </row>
    <row r="83" spans="2:10">
      <c r="B83" s="1227"/>
      <c r="C83" s="995"/>
      <c r="D83" s="996"/>
      <c r="E83" s="998"/>
      <c r="F83" s="998"/>
      <c r="G83" s="998"/>
      <c r="H83" s="998"/>
      <c r="I83" s="998"/>
      <c r="J83" s="999"/>
    </row>
    <row r="84" spans="2:10" ht="13">
      <c r="B84" s="816" t="s">
        <v>1081</v>
      </c>
      <c r="C84" s="982"/>
      <c r="D84" s="982"/>
      <c r="E84" s="1224">
        <f>SUM(E77:E83)</f>
        <v>0</v>
      </c>
      <c r="F84" s="1224">
        <f>SUM(F77:F83)</f>
        <v>0</v>
      </c>
      <c r="G84" s="1224">
        <f>SUM(G77:G83)</f>
        <v>0</v>
      </c>
      <c r="H84" s="1224">
        <f>SUM(H77:H83)</f>
        <v>0</v>
      </c>
      <c r="I84" s="1224">
        <f>SUM(I77:I83)</f>
        <v>0</v>
      </c>
      <c r="J84" s="983"/>
    </row>
    <row r="85" spans="2:10" ht="13">
      <c r="B85" s="816"/>
      <c r="C85" s="982"/>
      <c r="D85" s="982"/>
      <c r="E85" s="1224"/>
      <c r="F85" s="1224"/>
      <c r="G85" s="1224"/>
      <c r="H85" s="1224"/>
      <c r="I85" s="1224"/>
      <c r="J85" s="983"/>
    </row>
    <row r="86" spans="2:10">
      <c r="B86" s="1000" t="s">
        <v>904</v>
      </c>
      <c r="C86" s="1001"/>
      <c r="D86" s="1002"/>
      <c r="E86" s="1225">
        <f>SUM(F86:I86)</f>
        <v>0</v>
      </c>
      <c r="F86" s="1226"/>
      <c r="G86" s="1226"/>
      <c r="H86" s="1226"/>
      <c r="I86" s="1226"/>
      <c r="J86" s="818"/>
    </row>
    <row r="87" spans="2:10">
      <c r="B87" s="984" t="s">
        <v>905</v>
      </c>
      <c r="C87" s="985"/>
      <c r="D87" s="1002"/>
      <c r="E87" s="1225">
        <f>SUM(F87:I87)</f>
        <v>0</v>
      </c>
      <c r="F87" s="1226"/>
      <c r="G87" s="1226"/>
      <c r="H87" s="1226"/>
      <c r="I87" s="1226"/>
      <c r="J87" s="818"/>
    </row>
    <row r="88" spans="2:10">
      <c r="B88" s="984" t="s">
        <v>906</v>
      </c>
      <c r="C88" s="985"/>
      <c r="D88" s="1002"/>
      <c r="E88" s="1225">
        <f>SUM(F88:I88)</f>
        <v>0</v>
      </c>
      <c r="F88" s="1226"/>
      <c r="G88" s="1226"/>
      <c r="H88" s="1226"/>
      <c r="I88" s="1226"/>
      <c r="J88" s="818"/>
    </row>
    <row r="89" spans="2:10">
      <c r="B89" s="984" t="s">
        <v>907</v>
      </c>
      <c r="C89" s="985"/>
      <c r="D89" s="1002"/>
      <c r="E89" s="1225">
        <f>SUM(F89:I89)</f>
        <v>0</v>
      </c>
      <c r="F89" s="1226"/>
      <c r="G89" s="1226"/>
      <c r="H89" s="1226"/>
      <c r="I89" s="1226"/>
      <c r="J89" s="818"/>
    </row>
    <row r="90" spans="2:10" ht="5.15" customHeight="1">
      <c r="B90" s="817"/>
      <c r="C90" s="981"/>
      <c r="D90" s="982"/>
      <c r="E90" s="1224"/>
      <c r="F90" s="1224"/>
      <c r="G90" s="1224"/>
      <c r="H90" s="1224"/>
      <c r="I90" s="1224"/>
      <c r="J90" s="983"/>
    </row>
    <row r="91" spans="2:10" ht="13">
      <c r="B91" s="1003" t="s">
        <v>1082</v>
      </c>
      <c r="C91" s="1004"/>
      <c r="D91" s="982"/>
      <c r="E91" s="1224">
        <f>SUM(E86:E90)+E84</f>
        <v>0</v>
      </c>
      <c r="F91" s="1224">
        <f>SUM(F86:F90)+F84</f>
        <v>0</v>
      </c>
      <c r="G91" s="1224">
        <f>SUM(G86:G90)+G84</f>
        <v>0</v>
      </c>
      <c r="H91" s="1224">
        <f>SUM(H86:H90)+H84</f>
        <v>0</v>
      </c>
      <c r="I91" s="1224">
        <f>SUM(I86:I90)+I84</f>
        <v>0</v>
      </c>
      <c r="J91" s="983"/>
    </row>
    <row r="92" spans="2:10" ht="13">
      <c r="B92" s="1005"/>
      <c r="C92" s="1006"/>
      <c r="D92" s="1006"/>
      <c r="E92" s="989"/>
      <c r="F92" s="1224"/>
      <c r="G92" s="1224"/>
      <c r="H92" s="1224"/>
      <c r="I92" s="1224"/>
      <c r="J92" s="991"/>
    </row>
    <row r="93" spans="2:10" ht="13">
      <c r="B93" s="1007" t="s">
        <v>266</v>
      </c>
      <c r="C93" s="1008"/>
      <c r="D93" s="988"/>
      <c r="E93" s="989"/>
      <c r="F93" s="989"/>
      <c r="G93" s="989"/>
      <c r="H93" s="989"/>
      <c r="I93" s="990">
        <f>'ATT H-2A'!$H$20</f>
        <v>0.13143233299925774</v>
      </c>
      <c r="J93" s="991"/>
    </row>
    <row r="94" spans="2:10" ht="13">
      <c r="B94" s="986" t="s">
        <v>135</v>
      </c>
      <c r="C94" s="987"/>
      <c r="D94" s="988"/>
      <c r="E94" s="989"/>
      <c r="F94" s="989"/>
      <c r="G94" s="989"/>
      <c r="H94" s="990">
        <f>'ATT H-2A'!$H$36</f>
        <v>0.2381948594457306</v>
      </c>
      <c r="I94" s="989"/>
      <c r="J94" s="991"/>
    </row>
    <row r="95" spans="2:10" ht="13">
      <c r="B95" s="986" t="s">
        <v>908</v>
      </c>
      <c r="C95" s="987"/>
      <c r="D95" s="988"/>
      <c r="E95" s="989"/>
      <c r="F95" s="989"/>
      <c r="G95" s="990">
        <v>1</v>
      </c>
      <c r="H95" s="989"/>
      <c r="I95" s="989"/>
      <c r="J95" s="991"/>
    </row>
    <row r="96" spans="2:10" ht="13">
      <c r="B96" s="986" t="s">
        <v>909</v>
      </c>
      <c r="C96" s="987"/>
      <c r="D96" s="988"/>
      <c r="E96" s="989"/>
      <c r="F96" s="990">
        <v>0</v>
      </c>
      <c r="G96" s="989"/>
      <c r="H96" s="989"/>
      <c r="I96" s="989"/>
      <c r="J96" s="991"/>
    </row>
    <row r="97" spans="2:10" ht="13">
      <c r="B97" s="992" t="s">
        <v>910</v>
      </c>
      <c r="C97" s="987"/>
      <c r="D97" s="988"/>
      <c r="E97" s="989">
        <f>F97+G97+H97+I97</f>
        <v>0</v>
      </c>
      <c r="F97" s="989">
        <f>F96*F91</f>
        <v>0</v>
      </c>
      <c r="G97" s="989">
        <f>G91*G95</f>
        <v>0</v>
      </c>
      <c r="H97" s="989">
        <f>H91*H94</f>
        <v>0</v>
      </c>
      <c r="I97" s="989">
        <f>I93*I91</f>
        <v>0</v>
      </c>
      <c r="J97" s="991"/>
    </row>
    <row r="98" spans="2:10" ht="13">
      <c r="B98" s="993"/>
      <c r="E98" s="962"/>
      <c r="F98" s="962"/>
      <c r="G98" s="962"/>
      <c r="H98" s="962"/>
      <c r="I98" s="962"/>
      <c r="J98" s="994"/>
    </row>
    <row r="99" spans="2:10" ht="13">
      <c r="B99" s="993"/>
      <c r="E99" s="962"/>
      <c r="F99" s="962"/>
      <c r="G99" s="962"/>
      <c r="H99" s="962"/>
      <c r="I99" s="962"/>
      <c r="J99" s="994"/>
    </row>
    <row r="100" spans="2:10" ht="13">
      <c r="B100" s="931" t="s">
        <v>799</v>
      </c>
      <c r="C100" s="931"/>
      <c r="D100" s="931"/>
      <c r="E100" s="931" t="s">
        <v>800</v>
      </c>
      <c r="F100" s="931" t="s">
        <v>801</v>
      </c>
      <c r="G100" s="931" t="s">
        <v>802</v>
      </c>
      <c r="H100" s="931" t="s">
        <v>962</v>
      </c>
      <c r="I100" s="931" t="s">
        <v>804</v>
      </c>
      <c r="J100" s="931" t="s">
        <v>805</v>
      </c>
    </row>
    <row r="101" spans="2:10" ht="13">
      <c r="B101" s="964"/>
      <c r="C101" s="968"/>
      <c r="D101" s="968"/>
      <c r="E101" s="931"/>
      <c r="F101" s="931" t="s">
        <v>972</v>
      </c>
      <c r="G101" s="931" t="s">
        <v>363</v>
      </c>
      <c r="H101" s="931"/>
      <c r="I101" s="931"/>
      <c r="J101" s="968"/>
    </row>
    <row r="102" spans="2:10" ht="13">
      <c r="B102" s="1009"/>
      <c r="C102" s="968"/>
      <c r="D102" s="968"/>
      <c r="E102" s="931"/>
      <c r="F102" s="931" t="s">
        <v>1075</v>
      </c>
      <c r="G102" s="931" t="s">
        <v>348</v>
      </c>
      <c r="H102" s="931" t="s">
        <v>360</v>
      </c>
      <c r="I102" s="931" t="s">
        <v>362</v>
      </c>
      <c r="J102" s="968"/>
    </row>
    <row r="103" spans="2:10" ht="13">
      <c r="B103" s="964" t="s">
        <v>1083</v>
      </c>
      <c r="E103" s="931" t="s">
        <v>292</v>
      </c>
      <c r="F103" s="958" t="s">
        <v>973</v>
      </c>
      <c r="G103" s="931" t="s">
        <v>361</v>
      </c>
      <c r="H103" s="931" t="s">
        <v>361</v>
      </c>
      <c r="I103" s="931" t="s">
        <v>361</v>
      </c>
      <c r="J103" s="931" t="s">
        <v>111</v>
      </c>
    </row>
    <row r="104" spans="2:10">
      <c r="B104" s="988" t="s">
        <v>1077</v>
      </c>
      <c r="C104" s="988"/>
      <c r="D104" s="988"/>
      <c r="E104" s="1224">
        <f>SUM(F104:I104)</f>
        <v>399796056.14487869</v>
      </c>
      <c r="F104" s="989">
        <f>F57</f>
        <v>303499419.96298778</v>
      </c>
      <c r="G104" s="989">
        <f>G57</f>
        <v>49429036</v>
      </c>
      <c r="H104" s="989">
        <f>H57</f>
        <v>13891901.181890899</v>
      </c>
      <c r="I104" s="989">
        <f>I57</f>
        <v>32975699</v>
      </c>
      <c r="J104" s="991"/>
    </row>
    <row r="105" spans="2:10">
      <c r="B105" s="988" t="s">
        <v>1080</v>
      </c>
      <c r="C105" s="988"/>
      <c r="D105" s="988"/>
      <c r="E105" s="1224">
        <f>SUM(F105:I105)</f>
        <v>0</v>
      </c>
      <c r="F105" s="989">
        <f>F84</f>
        <v>0</v>
      </c>
      <c r="G105" s="989">
        <f>G84</f>
        <v>0</v>
      </c>
      <c r="H105" s="989">
        <f>H84</f>
        <v>0</v>
      </c>
      <c r="I105" s="989">
        <f>I84</f>
        <v>0</v>
      </c>
      <c r="J105" s="991"/>
    </row>
    <row r="106" spans="2:10" ht="13">
      <c r="B106" s="1010" t="s">
        <v>1084</v>
      </c>
      <c r="C106" s="988"/>
      <c r="D106" s="988"/>
      <c r="E106" s="989">
        <f>E104+E105</f>
        <v>399796056.14487869</v>
      </c>
      <c r="F106" s="989">
        <f>F104+F105</f>
        <v>303499419.96298778</v>
      </c>
      <c r="G106" s="989">
        <f>G104+G105</f>
        <v>49429036</v>
      </c>
      <c r="H106" s="989">
        <f>H104+H105</f>
        <v>13891901.181890899</v>
      </c>
      <c r="I106" s="989">
        <f>I104+I105</f>
        <v>32975699</v>
      </c>
      <c r="J106" s="991"/>
    </row>
    <row r="107" spans="2:10" ht="13">
      <c r="B107" s="993"/>
      <c r="E107" s="962"/>
      <c r="F107" s="962"/>
      <c r="G107" s="962"/>
      <c r="H107" s="962"/>
      <c r="I107" s="962"/>
      <c r="J107" s="994"/>
    </row>
    <row r="108" spans="2:10" s="968" customFormat="1" ht="12.75" customHeight="1">
      <c r="B108" s="1011" t="s">
        <v>364</v>
      </c>
      <c r="C108" s="1011"/>
      <c r="E108" s="1012"/>
      <c r="G108" s="1012"/>
      <c r="H108" s="1013"/>
      <c r="I108" s="1014"/>
      <c r="J108" s="1015"/>
    </row>
    <row r="109" spans="2:10" s="968" customFormat="1" ht="15.75" customHeight="1">
      <c r="B109" s="1531" t="s">
        <v>980</v>
      </c>
      <c r="C109" s="1531"/>
      <c r="D109" s="1531"/>
      <c r="E109" s="1531"/>
      <c r="F109" s="1531"/>
      <c r="G109" s="1531"/>
      <c r="H109" s="1531"/>
      <c r="I109" s="1531"/>
      <c r="J109" s="1016"/>
    </row>
    <row r="110" spans="2:10" s="968" customFormat="1" ht="13">
      <c r="B110" s="1017" t="s">
        <v>964</v>
      </c>
      <c r="C110" s="1017"/>
      <c r="H110" s="1014"/>
      <c r="I110" s="1014"/>
      <c r="J110" s="1015"/>
    </row>
    <row r="111" spans="2:10" s="968" customFormat="1" ht="13">
      <c r="B111" s="1017" t="s">
        <v>965</v>
      </c>
      <c r="C111" s="1017"/>
      <c r="H111" s="1014"/>
      <c r="I111" s="1014"/>
      <c r="J111" s="1016"/>
    </row>
    <row r="112" spans="2:10" s="968" customFormat="1" ht="13">
      <c r="B112" s="1017" t="s">
        <v>966</v>
      </c>
      <c r="C112" s="1017"/>
      <c r="H112" s="1014"/>
      <c r="I112" s="1014"/>
      <c r="J112" s="1015"/>
    </row>
    <row r="113" spans="2:15" s="968" customFormat="1" ht="15.75" customHeight="1">
      <c r="B113" s="1531" t="s">
        <v>911</v>
      </c>
      <c r="C113" s="1531"/>
      <c r="D113" s="1531"/>
      <c r="E113" s="1531"/>
      <c r="F113" s="1531"/>
      <c r="G113" s="1531"/>
      <c r="H113" s="1531"/>
      <c r="I113" s="1531"/>
      <c r="K113" s="1018"/>
    </row>
    <row r="114" spans="2:15" s="968" customFormat="1" ht="15.75" customHeight="1">
      <c r="B114" s="1531"/>
      <c r="C114" s="1531"/>
      <c r="D114" s="1531"/>
      <c r="E114" s="1531"/>
      <c r="F114" s="1531"/>
      <c r="G114" s="1531"/>
      <c r="H114" s="1531"/>
      <c r="I114" s="1531"/>
      <c r="K114" s="1018"/>
    </row>
    <row r="115" spans="2:15" s="968" customFormat="1" ht="13">
      <c r="B115" s="1017" t="s">
        <v>1085</v>
      </c>
      <c r="C115" s="1017"/>
      <c r="H115" s="1014"/>
      <c r="I115" s="1014"/>
      <c r="J115" s="1015"/>
    </row>
    <row r="116" spans="2:15" ht="13">
      <c r="C116" s="993"/>
      <c r="E116" s="965"/>
      <c r="F116" s="965"/>
      <c r="H116" s="1019"/>
      <c r="I116" s="1020"/>
      <c r="J116" s="994"/>
    </row>
    <row r="117" spans="2:15" ht="13">
      <c r="B117" s="993"/>
      <c r="C117" s="1021"/>
      <c r="E117" s="972"/>
    </row>
    <row r="118" spans="2:15" ht="13">
      <c r="B118" s="931" t="s">
        <v>799</v>
      </c>
      <c r="C118" s="931" t="s">
        <v>154</v>
      </c>
      <c r="D118" s="931"/>
      <c r="E118" s="931" t="s">
        <v>800</v>
      </c>
      <c r="F118" s="931" t="s">
        <v>801</v>
      </c>
      <c r="G118" s="931" t="s">
        <v>802</v>
      </c>
      <c r="H118" s="931" t="s">
        <v>962</v>
      </c>
      <c r="I118" s="931" t="s">
        <v>804</v>
      </c>
      <c r="J118" s="931" t="s">
        <v>805</v>
      </c>
    </row>
    <row r="119" spans="2:15" ht="13">
      <c r="B119" s="964"/>
      <c r="C119" s="968"/>
      <c r="D119" s="968"/>
      <c r="E119" s="931"/>
      <c r="F119" s="931" t="s">
        <v>972</v>
      </c>
      <c r="G119" s="931" t="s">
        <v>363</v>
      </c>
      <c r="H119" s="931"/>
      <c r="I119" s="931"/>
      <c r="J119" s="968"/>
    </row>
    <row r="120" spans="2:15" ht="13">
      <c r="B120" s="964"/>
      <c r="C120" s="974"/>
      <c r="D120" s="968"/>
      <c r="E120" s="931"/>
      <c r="F120" s="931" t="s">
        <v>1075</v>
      </c>
      <c r="G120" s="931" t="s">
        <v>348</v>
      </c>
      <c r="H120" s="931" t="s">
        <v>360</v>
      </c>
      <c r="I120" s="931" t="s">
        <v>362</v>
      </c>
      <c r="J120" s="968"/>
    </row>
    <row r="121" spans="2:15" ht="13">
      <c r="B121" s="964" t="s">
        <v>1086</v>
      </c>
      <c r="C121" s="968"/>
      <c r="D121" s="968"/>
      <c r="E121" s="931" t="s">
        <v>292</v>
      </c>
      <c r="F121" s="958" t="s">
        <v>973</v>
      </c>
      <c r="G121" s="931" t="s">
        <v>361</v>
      </c>
      <c r="H121" s="931" t="s">
        <v>361</v>
      </c>
      <c r="I121" s="931" t="s">
        <v>361</v>
      </c>
      <c r="J121" s="931" t="s">
        <v>111</v>
      </c>
    </row>
    <row r="122" spans="2:15" ht="25">
      <c r="B122" s="1229" t="s">
        <v>1512</v>
      </c>
      <c r="C122" s="1447"/>
      <c r="D122" s="1451"/>
      <c r="E122" s="1452">
        <f t="shared" ref="E122:E126" si="4">SUM(F122:I122)</f>
        <v>-1273584117.4178429</v>
      </c>
      <c r="F122" s="1458">
        <v>-529982457.04552197</v>
      </c>
      <c r="G122" s="1458">
        <v>0</v>
      </c>
      <c r="H122" s="1458">
        <v>-743601660.37232101</v>
      </c>
      <c r="I122" s="1458">
        <v>0</v>
      </c>
      <c r="J122" s="1502" t="s">
        <v>1606</v>
      </c>
    </row>
    <row r="123" spans="2:15" ht="25">
      <c r="B123" s="1229" t="s">
        <v>1513</v>
      </c>
      <c r="C123" s="1447"/>
      <c r="D123" s="1451"/>
      <c r="E123" s="1452">
        <f t="shared" si="4"/>
        <v>-4292673.5891249999</v>
      </c>
      <c r="F123" s="1458">
        <v>-4292673.5891249999</v>
      </c>
      <c r="G123" s="1458">
        <v>0</v>
      </c>
      <c r="H123" s="1458">
        <v>0</v>
      </c>
      <c r="I123" s="1458">
        <v>0</v>
      </c>
      <c r="J123" s="1449" t="s">
        <v>1607</v>
      </c>
      <c r="N123" s="966"/>
      <c r="O123" s="972"/>
    </row>
    <row r="124" spans="2:15" ht="38">
      <c r="B124" s="1229" t="s">
        <v>1300</v>
      </c>
      <c r="C124" s="1447"/>
      <c r="D124" s="1451"/>
      <c r="E124" s="1452">
        <f t="shared" si="4"/>
        <v>-52436677.997249998</v>
      </c>
      <c r="F124" s="1458">
        <v>-27520429.997249998</v>
      </c>
      <c r="G124" s="1458">
        <v>-24916248</v>
      </c>
      <c r="H124" s="1458">
        <v>0</v>
      </c>
      <c r="I124" s="1458">
        <v>0</v>
      </c>
      <c r="J124" s="1357" t="s">
        <v>1605</v>
      </c>
    </row>
    <row r="125" spans="2:15" ht="38">
      <c r="B125" s="1229" t="s">
        <v>1302</v>
      </c>
      <c r="C125" s="1447"/>
      <c r="D125" s="1451"/>
      <c r="E125" s="1452">
        <f t="shared" si="4"/>
        <v>-12527009</v>
      </c>
      <c r="F125" s="1458">
        <v>-12187115</v>
      </c>
      <c r="G125" s="1458">
        <v>-339894</v>
      </c>
      <c r="H125" s="1458">
        <v>0</v>
      </c>
      <c r="I125" s="1458">
        <v>0</v>
      </c>
      <c r="J125" s="1357" t="s">
        <v>1605</v>
      </c>
    </row>
    <row r="126" spans="2:15" ht="25">
      <c r="B126" s="1229" t="s">
        <v>1303</v>
      </c>
      <c r="C126" s="1447"/>
      <c r="D126" s="1451"/>
      <c r="E126" s="1452">
        <f t="shared" si="4"/>
        <v>93222712.925861552</v>
      </c>
      <c r="F126" s="1458">
        <v>93222712.925861552</v>
      </c>
      <c r="G126" s="1458">
        <v>0</v>
      </c>
      <c r="H126" s="1458">
        <v>0</v>
      </c>
      <c r="I126" s="1458">
        <v>0</v>
      </c>
      <c r="J126" s="1357" t="s">
        <v>1304</v>
      </c>
    </row>
    <row r="127" spans="2:15">
      <c r="B127" s="975"/>
      <c r="C127" s="976"/>
      <c r="D127" s="930"/>
      <c r="E127" s="977"/>
      <c r="F127" s="977"/>
      <c r="G127" s="977"/>
      <c r="H127" s="977"/>
      <c r="I127" s="977"/>
      <c r="J127" s="1357"/>
    </row>
    <row r="128" spans="2:15" ht="13">
      <c r="B128" s="816" t="s">
        <v>1088</v>
      </c>
      <c r="C128" s="982"/>
      <c r="D128" s="982"/>
      <c r="E128" s="1224">
        <f>SUM(E122:E127)</f>
        <v>-1249617765.0783563</v>
      </c>
      <c r="F128" s="1224">
        <f>SUM(F122:F127)</f>
        <v>-480759962.70603544</v>
      </c>
      <c r="G128" s="1224">
        <f>SUM(G122:G127)</f>
        <v>-25256142</v>
      </c>
      <c r="H128" s="1224">
        <f>SUM(H122:H127)</f>
        <v>-743601660.37232101</v>
      </c>
      <c r="I128" s="1224">
        <f>SUM(I122:I127)</f>
        <v>0</v>
      </c>
      <c r="J128" s="983"/>
    </row>
    <row r="129" spans="2:15" ht="13">
      <c r="B129" s="816"/>
      <c r="C129" s="982"/>
      <c r="D129" s="982"/>
      <c r="E129" s="1224"/>
      <c r="F129" s="1224"/>
      <c r="G129" s="1224"/>
      <c r="H129" s="1224"/>
      <c r="I129" s="1224"/>
      <c r="J129" s="983"/>
    </row>
    <row r="130" spans="2:15">
      <c r="B130" s="1000" t="s">
        <v>904</v>
      </c>
      <c r="C130" s="1001"/>
      <c r="D130" s="1002"/>
      <c r="E130" s="1225">
        <f>SUM(F130:I130)</f>
        <v>12527009</v>
      </c>
      <c r="F130" s="1226">
        <f>-F125</f>
        <v>12187115</v>
      </c>
      <c r="G130" s="1226">
        <f>-G125</f>
        <v>339894</v>
      </c>
      <c r="H130" s="1226">
        <v>0</v>
      </c>
      <c r="I130" s="1226">
        <v>0</v>
      </c>
      <c r="J130" s="818"/>
    </row>
    <row r="131" spans="2:15">
      <c r="B131" s="984" t="s">
        <v>1089</v>
      </c>
      <c r="C131" s="985"/>
      <c r="D131" s="1002"/>
      <c r="E131" s="1225">
        <f>SUM(F131:I131)</f>
        <v>52436677.997249998</v>
      </c>
      <c r="F131" s="1226">
        <f>-F124</f>
        <v>27520429.997249998</v>
      </c>
      <c r="G131" s="1226">
        <f>-G124</f>
        <v>24916248</v>
      </c>
      <c r="H131" s="1226">
        <v>0</v>
      </c>
      <c r="I131" s="1226">
        <v>0</v>
      </c>
      <c r="J131" s="818"/>
    </row>
    <row r="132" spans="2:15">
      <c r="B132" s="984" t="s">
        <v>906</v>
      </c>
      <c r="C132" s="985"/>
      <c r="D132" s="1002"/>
      <c r="E132" s="1225">
        <f>SUM(F132:I132)</f>
        <v>0</v>
      </c>
      <c r="F132" s="1226">
        <v>0</v>
      </c>
      <c r="G132" s="1226">
        <v>0</v>
      </c>
      <c r="H132" s="1226">
        <v>0</v>
      </c>
      <c r="I132" s="1226">
        <v>0</v>
      </c>
      <c r="J132" s="818"/>
    </row>
    <row r="133" spans="2:15">
      <c r="B133" s="984" t="s">
        <v>907</v>
      </c>
      <c r="C133" s="985"/>
      <c r="D133" s="1002"/>
      <c r="E133" s="1225">
        <f>SUM(F133:I133)</f>
        <v>0</v>
      </c>
      <c r="F133" s="1226">
        <v>0</v>
      </c>
      <c r="G133" s="1226">
        <v>0</v>
      </c>
      <c r="H133" s="1226">
        <v>0</v>
      </c>
      <c r="I133" s="1226">
        <v>0</v>
      </c>
      <c r="J133" s="818"/>
    </row>
    <row r="134" spans="2:15" ht="5.15" customHeight="1">
      <c r="B134" s="817"/>
      <c r="C134" s="981"/>
      <c r="D134" s="982"/>
      <c r="E134" s="1224"/>
      <c r="F134" s="1224"/>
      <c r="G134" s="1224"/>
      <c r="H134" s="1224"/>
      <c r="I134" s="1224"/>
      <c r="J134" s="983"/>
      <c r="M134" s="676"/>
      <c r="N134" s="676"/>
      <c r="O134" s="676"/>
    </row>
    <row r="135" spans="2:15" ht="13">
      <c r="B135" s="1003" t="s">
        <v>1090</v>
      </c>
      <c r="C135" s="1004"/>
      <c r="D135" s="982"/>
      <c r="E135" s="1224">
        <f>SUM(E130:E133)+E128</f>
        <v>-1184654078.0811062</v>
      </c>
      <c r="F135" s="1224">
        <f>SUM(F130:F133)+F128</f>
        <v>-441052417.70878541</v>
      </c>
      <c r="G135" s="1224">
        <f>SUM(G130:G133)+G128</f>
        <v>0</v>
      </c>
      <c r="H135" s="1224">
        <f>SUM(H130:H133)+H128</f>
        <v>-743601660.37232101</v>
      </c>
      <c r="I135" s="1224">
        <f>SUM(I130:I133)+I128</f>
        <v>0</v>
      </c>
      <c r="J135" s="983"/>
      <c r="M135" s="676"/>
      <c r="N135" s="676"/>
      <c r="O135" s="676"/>
    </row>
    <row r="136" spans="2:15" ht="13">
      <c r="B136" s="1005"/>
      <c r="C136" s="1006"/>
      <c r="D136" s="1006"/>
      <c r="E136" s="989"/>
      <c r="F136" s="1224"/>
      <c r="G136" s="1224"/>
      <c r="H136" s="1224"/>
      <c r="I136" s="1224"/>
      <c r="J136" s="991"/>
      <c r="M136" s="676"/>
      <c r="N136" s="676"/>
      <c r="O136" s="676"/>
    </row>
    <row r="137" spans="2:15" ht="13">
      <c r="B137" s="1007" t="s">
        <v>266</v>
      </c>
      <c r="C137" s="1008"/>
      <c r="D137" s="988"/>
      <c r="E137" s="989"/>
      <c r="F137" s="989"/>
      <c r="G137" s="989"/>
      <c r="H137" s="989"/>
      <c r="I137" s="990">
        <f>'ATT H-2A'!$H$20</f>
        <v>0.13143233299925774</v>
      </c>
      <c r="J137" s="991"/>
      <c r="M137" s="676"/>
      <c r="N137" s="676"/>
      <c r="O137" s="676"/>
    </row>
    <row r="138" spans="2:15" ht="13">
      <c r="B138" s="986" t="s">
        <v>135</v>
      </c>
      <c r="C138" s="987"/>
      <c r="D138" s="988"/>
      <c r="E138" s="989"/>
      <c r="F138" s="989"/>
      <c r="G138" s="989"/>
      <c r="H138" s="990">
        <f>'ATT H-2A'!$H$36</f>
        <v>0.2381948594457306</v>
      </c>
      <c r="I138" s="989"/>
      <c r="J138" s="991"/>
      <c r="M138" s="676"/>
      <c r="N138" s="676"/>
      <c r="O138" s="676"/>
    </row>
    <row r="139" spans="2:15" ht="13">
      <c r="B139" s="986" t="s">
        <v>908</v>
      </c>
      <c r="C139" s="987"/>
      <c r="D139" s="988"/>
      <c r="E139" s="989"/>
      <c r="F139" s="989"/>
      <c r="G139" s="990">
        <v>1</v>
      </c>
      <c r="H139" s="989"/>
      <c r="I139" s="989"/>
      <c r="J139" s="991"/>
      <c r="M139" s="676"/>
      <c r="N139" s="676"/>
      <c r="O139" s="676"/>
    </row>
    <row r="140" spans="2:15" ht="13">
      <c r="B140" s="986" t="s">
        <v>909</v>
      </c>
      <c r="C140" s="987"/>
      <c r="D140" s="988"/>
      <c r="E140" s="989"/>
      <c r="F140" s="990">
        <v>0</v>
      </c>
      <c r="G140" s="989"/>
      <c r="H140" s="989"/>
      <c r="I140" s="989"/>
      <c r="J140" s="991"/>
      <c r="M140" s="676"/>
      <c r="N140" s="676"/>
      <c r="O140" s="676"/>
    </row>
    <row r="141" spans="2:15" ht="13">
      <c r="B141" s="992" t="s">
        <v>910</v>
      </c>
      <c r="C141" s="987"/>
      <c r="D141" s="988"/>
      <c r="E141" s="989">
        <f>F141+G141+H141+I141</f>
        <v>-177122092.97599691</v>
      </c>
      <c r="F141" s="989">
        <f>F140*F135</f>
        <v>0</v>
      </c>
      <c r="G141" s="989">
        <f>G135*G139</f>
        <v>0</v>
      </c>
      <c r="H141" s="989">
        <f>H135*H138</f>
        <v>-177122092.97599691</v>
      </c>
      <c r="I141" s="989">
        <f>I137*I135</f>
        <v>0</v>
      </c>
      <c r="J141" s="991"/>
      <c r="M141" s="676"/>
      <c r="N141" s="676"/>
      <c r="O141" s="676"/>
    </row>
    <row r="142" spans="2:15" ht="17.25" customHeight="1">
      <c r="B142" s="974"/>
      <c r="C142" s="974"/>
      <c r="E142" s="962"/>
      <c r="F142" s="962"/>
      <c r="G142" s="962"/>
      <c r="H142" s="962"/>
      <c r="I142" s="962"/>
      <c r="J142" s="1503"/>
      <c r="M142" s="676"/>
      <c r="N142" s="676"/>
      <c r="O142" s="676"/>
    </row>
    <row r="143" spans="2:15" ht="13">
      <c r="B143" s="993"/>
      <c r="E143" s="962"/>
      <c r="F143" s="962"/>
      <c r="G143" s="962"/>
      <c r="H143" s="962"/>
      <c r="I143" s="962"/>
      <c r="J143" s="1500"/>
      <c r="M143" s="676"/>
      <c r="N143" s="676"/>
      <c r="O143" s="676"/>
    </row>
    <row r="144" spans="2:15" ht="13">
      <c r="B144" s="931" t="s">
        <v>799</v>
      </c>
      <c r="C144" s="931"/>
      <c r="D144" s="931"/>
      <c r="E144" s="931" t="s">
        <v>800</v>
      </c>
      <c r="F144" s="931" t="s">
        <v>801</v>
      </c>
      <c r="G144" s="931" t="s">
        <v>802</v>
      </c>
      <c r="H144" s="931" t="s">
        <v>962</v>
      </c>
      <c r="I144" s="931" t="s">
        <v>804</v>
      </c>
      <c r="J144" s="931" t="s">
        <v>805</v>
      </c>
      <c r="M144" s="676"/>
      <c r="N144" s="676"/>
      <c r="O144" s="676"/>
    </row>
    <row r="145" spans="2:10" ht="13">
      <c r="B145" s="964"/>
      <c r="C145" s="968"/>
      <c r="D145" s="968"/>
      <c r="E145" s="931"/>
      <c r="F145" s="931" t="s">
        <v>972</v>
      </c>
      <c r="G145" s="931" t="s">
        <v>363</v>
      </c>
      <c r="H145" s="931"/>
      <c r="I145" s="931"/>
      <c r="J145" s="968"/>
    </row>
    <row r="146" spans="2:10" ht="13">
      <c r="B146" s="964"/>
      <c r="C146" s="968"/>
      <c r="D146" s="968"/>
      <c r="E146" s="931"/>
      <c r="F146" s="931" t="s">
        <v>1075</v>
      </c>
      <c r="G146" s="931" t="s">
        <v>348</v>
      </c>
      <c r="H146" s="931" t="s">
        <v>360</v>
      </c>
      <c r="I146" s="931" t="s">
        <v>362</v>
      </c>
      <c r="J146" s="968"/>
    </row>
    <row r="147" spans="2:10" ht="13">
      <c r="B147" s="964" t="s">
        <v>1091</v>
      </c>
      <c r="C147" s="968"/>
      <c r="D147" s="968"/>
      <c r="E147" s="931" t="s">
        <v>292</v>
      </c>
      <c r="F147" s="958" t="s">
        <v>973</v>
      </c>
      <c r="G147" s="931" t="s">
        <v>361</v>
      </c>
      <c r="H147" s="931" t="s">
        <v>361</v>
      </c>
      <c r="I147" s="931" t="s">
        <v>361</v>
      </c>
      <c r="J147" s="931" t="s">
        <v>111</v>
      </c>
    </row>
    <row r="148" spans="2:10" ht="25">
      <c r="B148" s="1229" t="s">
        <v>1512</v>
      </c>
      <c r="C148" s="976"/>
      <c r="D148" s="930"/>
      <c r="E148" s="977">
        <f>F148+G148+H148+I148</f>
        <v>-708514316.59300792</v>
      </c>
      <c r="F148" s="1236">
        <v>-180011619.03528801</v>
      </c>
      <c r="G148" s="1236">
        <v>0</v>
      </c>
      <c r="H148" s="977">
        <v>-528502697.55771995</v>
      </c>
      <c r="I148" s="1501">
        <v>0</v>
      </c>
      <c r="J148" s="1502" t="s">
        <v>1606</v>
      </c>
    </row>
    <row r="149" spans="2:10">
      <c r="B149" s="975"/>
      <c r="C149" s="976"/>
      <c r="D149" s="930"/>
      <c r="E149" s="977"/>
      <c r="F149" s="977"/>
      <c r="G149" s="977"/>
      <c r="H149" s="977"/>
      <c r="I149" s="977"/>
      <c r="J149" s="978"/>
    </row>
    <row r="150" spans="2:10">
      <c r="B150" s="975"/>
      <c r="C150" s="976"/>
      <c r="D150" s="930"/>
      <c r="E150" s="977"/>
      <c r="F150" s="977"/>
      <c r="G150" s="977"/>
      <c r="H150" s="977"/>
      <c r="I150" s="977"/>
      <c r="J150" s="978"/>
    </row>
    <row r="151" spans="2:10">
      <c r="B151" s="975"/>
      <c r="C151" s="976"/>
      <c r="D151" s="930"/>
      <c r="E151" s="977"/>
      <c r="F151" s="977"/>
      <c r="G151" s="977"/>
      <c r="H151" s="977"/>
      <c r="I151" s="977"/>
      <c r="J151" s="1232"/>
    </row>
    <row r="152" spans="2:10" ht="13">
      <c r="B152" s="816" t="s">
        <v>1092</v>
      </c>
      <c r="C152" s="982"/>
      <c r="D152" s="982"/>
      <c r="E152" s="1224">
        <f>SUM(E148:E151)</f>
        <v>-708514316.59300792</v>
      </c>
      <c r="F152" s="1224">
        <f>SUM(F148:F151)</f>
        <v>-180011619.03528801</v>
      </c>
      <c r="G152" s="1224">
        <f>SUM(G148:G151)</f>
        <v>0</v>
      </c>
      <c r="H152" s="1224">
        <f>SUM(H148:H151)</f>
        <v>-528502697.55771995</v>
      </c>
      <c r="I152" s="1224">
        <f>SUM(I148:I151)</f>
        <v>0</v>
      </c>
      <c r="J152" s="983"/>
    </row>
    <row r="153" spans="2:10" ht="13">
      <c r="B153" s="816"/>
      <c r="C153" s="982"/>
      <c r="D153" s="982"/>
      <c r="E153" s="1224"/>
      <c r="F153" s="1224"/>
      <c r="G153" s="1224"/>
      <c r="H153" s="1224"/>
      <c r="I153" s="1224"/>
      <c r="J153" s="983"/>
    </row>
    <row r="154" spans="2:10">
      <c r="B154" s="1000" t="s">
        <v>904</v>
      </c>
      <c r="C154" s="1001"/>
      <c r="D154" s="1002"/>
      <c r="E154" s="1225">
        <f>SUM(F154:I154)</f>
        <v>0</v>
      </c>
      <c r="F154" s="1223">
        <v>0</v>
      </c>
      <c r="G154" s="1223">
        <v>0</v>
      </c>
      <c r="H154" s="1223">
        <v>0</v>
      </c>
      <c r="I154" s="1223">
        <v>0</v>
      </c>
      <c r="J154" s="818"/>
    </row>
    <row r="155" spans="2:10">
      <c r="B155" s="984" t="s">
        <v>905</v>
      </c>
      <c r="C155" s="985"/>
      <c r="D155" s="1002"/>
      <c r="E155" s="1225">
        <f>SUM(F155:I155)</f>
        <v>0</v>
      </c>
      <c r="F155" s="1223">
        <v>0</v>
      </c>
      <c r="G155" s="1223">
        <v>0</v>
      </c>
      <c r="H155" s="1223">
        <v>0</v>
      </c>
      <c r="I155" s="1223">
        <v>0</v>
      </c>
      <c r="J155" s="818"/>
    </row>
    <row r="156" spans="2:10">
      <c r="B156" s="984" t="s">
        <v>906</v>
      </c>
      <c r="C156" s="985"/>
      <c r="D156" s="1002"/>
      <c r="E156" s="1225">
        <f>SUM(F156:I156)</f>
        <v>0</v>
      </c>
      <c r="F156" s="1223">
        <v>0</v>
      </c>
      <c r="G156" s="1223">
        <v>0</v>
      </c>
      <c r="H156" s="1223">
        <v>0</v>
      </c>
      <c r="I156" s="1223">
        <v>0</v>
      </c>
      <c r="J156" s="818"/>
    </row>
    <row r="157" spans="2:10">
      <c r="B157" s="984" t="s">
        <v>907</v>
      </c>
      <c r="C157" s="985"/>
      <c r="D157" s="1002"/>
      <c r="E157" s="1225">
        <f>SUM(F157:I157)</f>
        <v>0</v>
      </c>
      <c r="F157" s="1223">
        <v>0</v>
      </c>
      <c r="G157" s="1223">
        <v>0</v>
      </c>
      <c r="H157" s="1223">
        <v>0</v>
      </c>
      <c r="I157" s="1223">
        <v>0</v>
      </c>
      <c r="J157" s="818"/>
    </row>
    <row r="158" spans="2:10" ht="5.15" customHeight="1">
      <c r="B158" s="817"/>
      <c r="C158" s="981"/>
      <c r="D158" s="982"/>
      <c r="E158" s="1224"/>
      <c r="F158" s="1224"/>
      <c r="G158" s="1224"/>
      <c r="H158" s="1224"/>
      <c r="I158" s="1224"/>
      <c r="J158" s="983"/>
    </row>
    <row r="159" spans="2:10" ht="13">
      <c r="B159" s="1003" t="s">
        <v>1090</v>
      </c>
      <c r="C159" s="1004"/>
      <c r="D159" s="982"/>
      <c r="E159" s="1224">
        <f>SUM(E154:E157)+E152</f>
        <v>-708514316.59300792</v>
      </c>
      <c r="F159" s="1224">
        <f>SUM(F154:F157)+F152</f>
        <v>-180011619.03528801</v>
      </c>
      <c r="G159" s="1224">
        <f>SUM(G154:G157)+G152</f>
        <v>0</v>
      </c>
      <c r="H159" s="1224">
        <f>SUM(H154:H157)+H152</f>
        <v>-528502697.55771995</v>
      </c>
      <c r="I159" s="1224">
        <f>SUM(I154:I157)+I152</f>
        <v>0</v>
      </c>
      <c r="J159" s="983"/>
    </row>
    <row r="160" spans="2:10" ht="13">
      <c r="B160" s="1005"/>
      <c r="C160" s="1006"/>
      <c r="D160" s="1006"/>
      <c r="E160" s="989"/>
      <c r="F160" s="1224"/>
      <c r="G160" s="1224"/>
      <c r="H160" s="1224"/>
      <c r="I160" s="1224"/>
      <c r="J160" s="991"/>
    </row>
    <row r="161" spans="2:10" ht="13">
      <c r="B161" s="1007" t="s">
        <v>266</v>
      </c>
      <c r="C161" s="1008"/>
      <c r="D161" s="988"/>
      <c r="E161" s="989"/>
      <c r="F161" s="989"/>
      <c r="G161" s="989"/>
      <c r="H161" s="989"/>
      <c r="I161" s="990">
        <f>'ATT H-2A'!$H$20</f>
        <v>0.13143233299925774</v>
      </c>
      <c r="J161" s="991"/>
    </row>
    <row r="162" spans="2:10" ht="13">
      <c r="B162" s="986" t="s">
        <v>135</v>
      </c>
      <c r="C162" s="987"/>
      <c r="D162" s="988"/>
      <c r="E162" s="989"/>
      <c r="F162" s="989"/>
      <c r="G162" s="989"/>
      <c r="H162" s="990">
        <f>'ATT H-2A'!$H$36</f>
        <v>0.2381948594457306</v>
      </c>
      <c r="I162" s="989"/>
      <c r="J162" s="991"/>
    </row>
    <row r="163" spans="2:10" ht="13">
      <c r="B163" s="986" t="s">
        <v>908</v>
      </c>
      <c r="C163" s="987"/>
      <c r="D163" s="988"/>
      <c r="E163" s="989"/>
      <c r="F163" s="989"/>
      <c r="G163" s="990">
        <v>1</v>
      </c>
      <c r="H163" s="989"/>
      <c r="I163" s="989"/>
      <c r="J163" s="991"/>
    </row>
    <row r="164" spans="2:10" ht="13">
      <c r="B164" s="986" t="s">
        <v>909</v>
      </c>
      <c r="C164" s="987"/>
      <c r="D164" s="988"/>
      <c r="E164" s="989"/>
      <c r="F164" s="990">
        <v>0</v>
      </c>
      <c r="G164" s="989"/>
      <c r="H164" s="989"/>
      <c r="I164" s="989"/>
      <c r="J164" s="991"/>
    </row>
    <row r="165" spans="2:10" ht="13">
      <c r="B165" s="992" t="s">
        <v>910</v>
      </c>
      <c r="C165" s="987"/>
      <c r="D165" s="988"/>
      <c r="E165" s="989">
        <f>F165+G165+H165+I165</f>
        <v>-125886625.76145057</v>
      </c>
      <c r="F165" s="989">
        <f>F164*F159</f>
        <v>0</v>
      </c>
      <c r="G165" s="989">
        <f>G159*G163</f>
        <v>0</v>
      </c>
      <c r="H165" s="989">
        <f>H159*H162</f>
        <v>-125886625.76145057</v>
      </c>
      <c r="I165" s="989">
        <f>I161*I159</f>
        <v>0</v>
      </c>
      <c r="J165" s="991"/>
    </row>
    <row r="166" spans="2:10" ht="13">
      <c r="B166" s="993"/>
      <c r="E166" s="962"/>
      <c r="F166" s="962"/>
      <c r="G166" s="962"/>
      <c r="H166" s="962"/>
      <c r="I166" s="962"/>
      <c r="J166" s="994"/>
    </row>
    <row r="167" spans="2:10" ht="13">
      <c r="B167" s="993"/>
      <c r="E167" s="962"/>
      <c r="F167" s="962"/>
      <c r="G167" s="962"/>
      <c r="H167" s="962"/>
      <c r="I167" s="962"/>
      <c r="J167" s="994"/>
    </row>
    <row r="168" spans="2:10" ht="13">
      <c r="B168" s="931" t="s">
        <v>799</v>
      </c>
      <c r="C168" s="931"/>
      <c r="D168" s="931"/>
      <c r="E168" s="931" t="s">
        <v>800</v>
      </c>
      <c r="F168" s="931" t="s">
        <v>801</v>
      </c>
      <c r="G168" s="931" t="s">
        <v>802</v>
      </c>
      <c r="H168" s="931" t="s">
        <v>962</v>
      </c>
      <c r="I168" s="931" t="s">
        <v>804</v>
      </c>
      <c r="J168" s="931" t="s">
        <v>805</v>
      </c>
    </row>
    <row r="169" spans="2:10" ht="13">
      <c r="B169" s="964"/>
      <c r="C169" s="968"/>
      <c r="D169" s="968"/>
      <c r="E169" s="931"/>
      <c r="F169" s="931" t="s">
        <v>972</v>
      </c>
      <c r="G169" s="931" t="s">
        <v>363</v>
      </c>
      <c r="H169" s="931"/>
      <c r="I169" s="931"/>
      <c r="J169" s="968"/>
    </row>
    <row r="170" spans="2:10" ht="13">
      <c r="B170" s="964"/>
      <c r="C170" s="968"/>
      <c r="D170" s="968"/>
      <c r="E170" s="931"/>
      <c r="F170" s="931" t="s">
        <v>1075</v>
      </c>
      <c r="G170" s="931" t="s">
        <v>348</v>
      </c>
      <c r="H170" s="931" t="s">
        <v>360</v>
      </c>
      <c r="I170" s="931" t="s">
        <v>362</v>
      </c>
      <c r="J170" s="968"/>
    </row>
    <row r="171" spans="2:10" ht="13">
      <c r="B171" s="964" t="s">
        <v>1093</v>
      </c>
      <c r="C171" s="968"/>
      <c r="D171" s="968"/>
      <c r="E171" s="931" t="s">
        <v>292</v>
      </c>
      <c r="F171" s="958" t="s">
        <v>973</v>
      </c>
      <c r="G171" s="931" t="s">
        <v>361</v>
      </c>
      <c r="H171" s="931" t="s">
        <v>361</v>
      </c>
      <c r="I171" s="931" t="s">
        <v>361</v>
      </c>
      <c r="J171" s="931" t="s">
        <v>111</v>
      </c>
    </row>
    <row r="172" spans="2:10">
      <c r="B172" s="988" t="s">
        <v>1094</v>
      </c>
      <c r="C172" s="988"/>
      <c r="D172" s="988"/>
      <c r="E172" s="1224">
        <f>SUM(F172:I172)</f>
        <v>-1249617765.0783565</v>
      </c>
      <c r="F172" s="989">
        <f>F128</f>
        <v>-480759962.70603544</v>
      </c>
      <c r="G172" s="989">
        <f>G128</f>
        <v>-25256142</v>
      </c>
      <c r="H172" s="989">
        <f>H128</f>
        <v>-743601660.37232101</v>
      </c>
      <c r="I172" s="989">
        <f>I128</f>
        <v>0</v>
      </c>
      <c r="J172" s="991"/>
    </row>
    <row r="173" spans="2:10">
      <c r="B173" s="988" t="s">
        <v>1091</v>
      </c>
      <c r="C173" s="988"/>
      <c r="D173" s="988"/>
      <c r="E173" s="1224">
        <f>SUM(F173:I173)</f>
        <v>-708514316.59300792</v>
      </c>
      <c r="F173" s="989">
        <f>F152</f>
        <v>-180011619.03528801</v>
      </c>
      <c r="G173" s="989">
        <f>G152</f>
        <v>0</v>
      </c>
      <c r="H173" s="989">
        <f>H152</f>
        <v>-528502697.55771995</v>
      </c>
      <c r="I173" s="989">
        <f>I152</f>
        <v>0</v>
      </c>
      <c r="J173" s="991"/>
    </row>
    <row r="174" spans="2:10" ht="13">
      <c r="B174" s="816" t="s">
        <v>1457</v>
      </c>
      <c r="C174" s="988"/>
      <c r="D174" s="988"/>
      <c r="E174" s="989">
        <f>E172+E173</f>
        <v>-1958132081.6713643</v>
      </c>
      <c r="F174" s="989">
        <f>F172+F173</f>
        <v>-660771581.74132347</v>
      </c>
      <c r="G174" s="989">
        <f>G172+G173</f>
        <v>-25256142</v>
      </c>
      <c r="H174" s="989">
        <f>H172+H173</f>
        <v>-1272104357.9300408</v>
      </c>
      <c r="I174" s="989">
        <f>I172+I173</f>
        <v>0</v>
      </c>
      <c r="J174" s="991"/>
    </row>
    <row r="175" spans="2:10">
      <c r="B175" s="952"/>
      <c r="E175" s="962"/>
      <c r="F175" s="962"/>
      <c r="G175" s="962"/>
      <c r="H175" s="962"/>
      <c r="I175" s="962"/>
      <c r="J175" s="1504">
        <f>I175-E174</f>
        <v>1958132081.6713643</v>
      </c>
    </row>
    <row r="176" spans="2:10" s="968" customFormat="1" ht="13">
      <c r="B176" s="964" t="s">
        <v>366</v>
      </c>
      <c r="G176" s="1014"/>
      <c r="H176" s="1014"/>
      <c r="I176" s="1014"/>
      <c r="J176" s="1015"/>
    </row>
    <row r="177" spans="2:12" s="968" customFormat="1" ht="12.75" customHeight="1">
      <c r="B177" s="1531" t="s">
        <v>980</v>
      </c>
      <c r="C177" s="1531"/>
      <c r="D177" s="1531"/>
      <c r="E177" s="1531"/>
      <c r="F177" s="1531"/>
      <c r="G177" s="1531"/>
      <c r="H177" s="1531"/>
      <c r="I177" s="1531"/>
      <c r="J177" s="1015"/>
    </row>
    <row r="178" spans="2:12" s="968" customFormat="1" ht="13">
      <c r="B178" s="1017" t="s">
        <v>964</v>
      </c>
      <c r="C178" s="1017"/>
      <c r="H178" s="1014"/>
      <c r="I178" s="1014"/>
      <c r="J178" s="1015"/>
    </row>
    <row r="179" spans="2:12" s="968" customFormat="1" ht="13">
      <c r="B179" s="1017" t="s">
        <v>965</v>
      </c>
      <c r="C179" s="1017"/>
      <c r="H179" s="1014"/>
      <c r="I179" s="1014"/>
      <c r="J179" s="1015"/>
    </row>
    <row r="180" spans="2:12" s="968" customFormat="1" ht="13">
      <c r="B180" s="1017" t="s">
        <v>966</v>
      </c>
      <c r="C180" s="1017"/>
      <c r="H180" s="1014"/>
      <c r="I180" s="1014"/>
      <c r="J180" s="1015"/>
    </row>
    <row r="181" spans="2:12" s="968" customFormat="1" ht="15.75" customHeight="1">
      <c r="B181" s="1531" t="s">
        <v>911</v>
      </c>
      <c r="C181" s="1531"/>
      <c r="D181" s="1531"/>
      <c r="E181" s="1531"/>
      <c r="F181" s="1531"/>
      <c r="G181" s="1531"/>
      <c r="H181" s="1531"/>
      <c r="I181" s="1531"/>
      <c r="K181" s="1018"/>
    </row>
    <row r="182" spans="2:12" s="968" customFormat="1" ht="15.75" customHeight="1">
      <c r="B182" s="1531"/>
      <c r="C182" s="1531"/>
      <c r="D182" s="1531"/>
      <c r="E182" s="1531"/>
      <c r="F182" s="1531"/>
      <c r="G182" s="1531"/>
      <c r="H182" s="1531"/>
      <c r="I182" s="1531"/>
      <c r="K182" s="1018"/>
    </row>
    <row r="183" spans="2:12" s="968" customFormat="1" ht="13">
      <c r="B183" s="1017" t="s">
        <v>1095</v>
      </c>
      <c r="G183" s="1014"/>
      <c r="H183" s="1014"/>
      <c r="I183" s="1014"/>
      <c r="J183" s="1015"/>
    </row>
    <row r="184" spans="2:12" ht="12" customHeight="1">
      <c r="B184" s="1025"/>
      <c r="C184" s="1026"/>
      <c r="D184" s="1027"/>
      <c r="E184" s="1027"/>
      <c r="F184" s="1027"/>
      <c r="G184" s="1027"/>
      <c r="H184" s="1027"/>
      <c r="I184" s="1027"/>
      <c r="J184" s="1027"/>
    </row>
    <row r="185" spans="2:12" ht="13">
      <c r="B185" s="953"/>
      <c r="C185" s="952" t="s">
        <v>154</v>
      </c>
    </row>
    <row r="186" spans="2:12" ht="13">
      <c r="B186" s="931" t="s">
        <v>799</v>
      </c>
      <c r="C186" s="931"/>
      <c r="D186" s="931"/>
      <c r="E186" s="931" t="s">
        <v>800</v>
      </c>
      <c r="F186" s="931" t="s">
        <v>801</v>
      </c>
      <c r="G186" s="931" t="s">
        <v>802</v>
      </c>
      <c r="H186" s="931" t="s">
        <v>962</v>
      </c>
      <c r="I186" s="931" t="s">
        <v>804</v>
      </c>
      <c r="J186" s="931" t="s">
        <v>805</v>
      </c>
    </row>
    <row r="187" spans="2:12" ht="13">
      <c r="B187" s="964"/>
      <c r="C187" s="968"/>
      <c r="D187" s="968"/>
      <c r="E187" s="931"/>
      <c r="F187" s="931" t="s">
        <v>972</v>
      </c>
      <c r="G187" s="931" t="s">
        <v>363</v>
      </c>
      <c r="H187" s="931"/>
      <c r="I187" s="931"/>
      <c r="J187" s="968"/>
    </row>
    <row r="188" spans="2:12" ht="13">
      <c r="B188" s="964"/>
      <c r="C188" s="974"/>
      <c r="D188" s="968"/>
      <c r="E188" s="931"/>
      <c r="F188" s="931" t="s">
        <v>1075</v>
      </c>
      <c r="G188" s="931" t="s">
        <v>348</v>
      </c>
      <c r="H188" s="931" t="s">
        <v>360</v>
      </c>
      <c r="I188" s="931" t="s">
        <v>362</v>
      </c>
      <c r="J188" s="968"/>
      <c r="L188" s="952" t="s">
        <v>154</v>
      </c>
    </row>
    <row r="189" spans="2:12" ht="13">
      <c r="B189" s="964" t="s">
        <v>1096</v>
      </c>
      <c r="C189" s="968"/>
      <c r="D189" s="968"/>
      <c r="E189" s="931" t="s">
        <v>292</v>
      </c>
      <c r="F189" s="958" t="s">
        <v>973</v>
      </c>
      <c r="G189" s="931" t="s">
        <v>361</v>
      </c>
      <c r="H189" s="931" t="s">
        <v>361</v>
      </c>
      <c r="I189" s="931" t="s">
        <v>361</v>
      </c>
      <c r="J189" s="931" t="s">
        <v>111</v>
      </c>
    </row>
    <row r="190" spans="2:12" ht="37.5">
      <c r="B190" s="1229" t="s">
        <v>1501</v>
      </c>
      <c r="C190" s="1447"/>
      <c r="D190" s="1447"/>
      <c r="E190" s="1448">
        <f t="shared" ref="E190:E191" si="5">SUM(F190:I190)</f>
        <v>-80157890.020637244</v>
      </c>
      <c r="F190" s="1458">
        <v>-25890998.510198653</v>
      </c>
      <c r="G190" s="1458">
        <v>0</v>
      </c>
      <c r="H190" s="1458">
        <v>0</v>
      </c>
      <c r="I190" s="1458">
        <v>-54266891.510438591</v>
      </c>
      <c r="J190" s="1449" t="s">
        <v>1502</v>
      </c>
    </row>
    <row r="191" spans="2:12" ht="25">
      <c r="B191" s="1229" t="s">
        <v>1515</v>
      </c>
      <c r="C191" s="1447"/>
      <c r="D191" s="1447"/>
      <c r="E191" s="1458">
        <f t="shared" si="5"/>
        <v>-26040265.898523752</v>
      </c>
      <c r="F191" s="1458">
        <v>-26040265.898523752</v>
      </c>
      <c r="G191" s="1458">
        <v>0</v>
      </c>
      <c r="H191" s="1458">
        <v>0</v>
      </c>
      <c r="I191" s="1458">
        <v>0</v>
      </c>
      <c r="J191" s="1449" t="s">
        <v>1607</v>
      </c>
    </row>
    <row r="192" spans="2:12" ht="25">
      <c r="B192" s="1229" t="s">
        <v>1527</v>
      </c>
      <c r="C192" s="1447"/>
      <c r="D192" s="1447"/>
      <c r="E192" s="1458">
        <f t="shared" ref="E192:E198" si="6">SUM(F192:I192)</f>
        <v>-5002950.9816292506</v>
      </c>
      <c r="F192" s="1458">
        <v>-5002950.9816292506</v>
      </c>
      <c r="G192" s="1458">
        <v>0</v>
      </c>
      <c r="H192" s="1458">
        <v>0</v>
      </c>
      <c r="I192" s="1458">
        <v>0</v>
      </c>
      <c r="J192" s="1449" t="s">
        <v>1607</v>
      </c>
    </row>
    <row r="193" spans="2:10" ht="25">
      <c r="B193" s="1229" t="s">
        <v>1522</v>
      </c>
      <c r="C193" s="1447"/>
      <c r="D193" s="1447"/>
      <c r="E193" s="1458">
        <f t="shared" si="6"/>
        <v>-1637795.1201499999</v>
      </c>
      <c r="F193" s="1458">
        <v>-1637795.1201499999</v>
      </c>
      <c r="G193" s="1458">
        <v>0</v>
      </c>
      <c r="H193" s="1458">
        <v>0</v>
      </c>
      <c r="I193" s="1458">
        <v>0</v>
      </c>
      <c r="J193" s="1449" t="s">
        <v>1607</v>
      </c>
    </row>
    <row r="194" spans="2:10" ht="25">
      <c r="B194" s="1229" t="s">
        <v>1521</v>
      </c>
      <c r="C194" s="1447"/>
      <c r="D194" s="1447"/>
      <c r="E194" s="1458">
        <f t="shared" si="6"/>
        <v>-1599331.3801297499</v>
      </c>
      <c r="F194" s="1458">
        <v>-1599331.3801297499</v>
      </c>
      <c r="G194" s="1458">
        <v>0</v>
      </c>
      <c r="H194" s="1458">
        <v>0</v>
      </c>
      <c r="I194" s="1458">
        <v>0</v>
      </c>
      <c r="J194" s="1449" t="s">
        <v>1607</v>
      </c>
    </row>
    <row r="195" spans="2:10" ht="25">
      <c r="B195" s="1229" t="s">
        <v>1598</v>
      </c>
      <c r="C195" s="1447"/>
      <c r="D195" s="1447"/>
      <c r="E195" s="1458">
        <f t="shared" si="6"/>
        <v>-13247655.827094</v>
      </c>
      <c r="F195" s="1458">
        <v>-13247655.827094</v>
      </c>
      <c r="G195" s="1458">
        <v>0</v>
      </c>
      <c r="H195" s="1458">
        <v>0</v>
      </c>
      <c r="I195" s="1458">
        <v>0</v>
      </c>
      <c r="J195" s="1449" t="s">
        <v>1607</v>
      </c>
    </row>
    <row r="196" spans="2:10" ht="25">
      <c r="B196" s="1229" t="s">
        <v>1528</v>
      </c>
      <c r="C196" s="1447"/>
      <c r="D196" s="1447"/>
      <c r="E196" s="1458">
        <f t="shared" si="6"/>
        <v>-6607567.591649998</v>
      </c>
      <c r="F196" s="1458">
        <v>-2086669.8454430699</v>
      </c>
      <c r="G196" s="1458">
        <v>0</v>
      </c>
      <c r="H196" s="1458">
        <v>-4520897.746206928</v>
      </c>
      <c r="I196" s="1458">
        <v>0</v>
      </c>
      <c r="J196" s="1449" t="s">
        <v>1529</v>
      </c>
    </row>
    <row r="197" spans="2:10" ht="25">
      <c r="B197" s="1229" t="s">
        <v>1355</v>
      </c>
      <c r="C197" s="1447"/>
      <c r="D197" s="1447"/>
      <c r="E197" s="1458">
        <f t="shared" si="6"/>
        <v>-1729489.9903627499</v>
      </c>
      <c r="F197" s="1458">
        <v>-1729489.9903627499</v>
      </c>
      <c r="G197" s="1458">
        <v>0</v>
      </c>
      <c r="H197" s="1458">
        <v>0</v>
      </c>
      <c r="I197" s="1458">
        <v>0</v>
      </c>
      <c r="J197" s="1449" t="s">
        <v>1607</v>
      </c>
    </row>
    <row r="198" spans="2:10" ht="25">
      <c r="B198" s="1229" t="s">
        <v>1357</v>
      </c>
      <c r="C198" s="1447"/>
      <c r="D198" s="1447"/>
      <c r="E198" s="1458">
        <f t="shared" si="6"/>
        <v>-76168127.379186004</v>
      </c>
      <c r="F198" s="1458">
        <v>-76168127.379186004</v>
      </c>
      <c r="G198" s="1458">
        <v>0</v>
      </c>
      <c r="H198" s="1458">
        <v>0</v>
      </c>
      <c r="I198" s="1458">
        <v>0</v>
      </c>
      <c r="J198" s="1449" t="s">
        <v>1607</v>
      </c>
    </row>
    <row r="199" spans="2:10" ht="25">
      <c r="B199" s="1229" t="s">
        <v>1599</v>
      </c>
      <c r="C199" s="1447"/>
      <c r="D199" s="1447"/>
      <c r="E199" s="1458">
        <f t="shared" ref="E199:E208" si="7">SUM(F199:I199)</f>
        <v>-20774974.755825002</v>
      </c>
      <c r="F199" s="1458">
        <v>-20774974.755825002</v>
      </c>
      <c r="G199" s="1458">
        <v>0</v>
      </c>
      <c r="H199" s="1458">
        <v>0</v>
      </c>
      <c r="I199" s="1458">
        <v>0</v>
      </c>
      <c r="J199" s="1449" t="s">
        <v>1607</v>
      </c>
    </row>
    <row r="200" spans="2:10" ht="25">
      <c r="B200" s="1229" t="s">
        <v>1600</v>
      </c>
      <c r="C200" s="1447"/>
      <c r="D200" s="1447"/>
      <c r="E200" s="1458">
        <f t="shared" si="7"/>
        <v>-5592317.8962847497</v>
      </c>
      <c r="F200" s="1458">
        <v>-5592317.8962847497</v>
      </c>
      <c r="G200" s="1458">
        <v>0</v>
      </c>
      <c r="H200" s="1458">
        <v>0</v>
      </c>
      <c r="I200" s="1458">
        <v>0</v>
      </c>
      <c r="J200" s="1449" t="s">
        <v>1607</v>
      </c>
    </row>
    <row r="201" spans="2:10" ht="25">
      <c r="B201" s="1229" t="s">
        <v>1523</v>
      </c>
      <c r="C201" s="1447"/>
      <c r="D201" s="1447"/>
      <c r="E201" s="1458">
        <f t="shared" si="7"/>
        <v>-152880.900975</v>
      </c>
      <c r="F201" s="1458">
        <v>-152880.900975</v>
      </c>
      <c r="G201" s="1458">
        <v>0</v>
      </c>
      <c r="H201" s="1458">
        <v>0</v>
      </c>
      <c r="I201" s="1458">
        <v>0</v>
      </c>
      <c r="J201" s="1449" t="s">
        <v>1607</v>
      </c>
    </row>
    <row r="202" spans="2:10" ht="25">
      <c r="B202" s="1229" t="s">
        <v>1612</v>
      </c>
      <c r="C202" s="1447"/>
      <c r="D202" s="1447"/>
      <c r="E202" s="1458">
        <f t="shared" si="7"/>
        <v>-176296.3397325</v>
      </c>
      <c r="F202" s="1458">
        <v>-176296.3397325</v>
      </c>
      <c r="G202" s="1458">
        <v>0</v>
      </c>
      <c r="H202" s="1458">
        <v>0</v>
      </c>
      <c r="I202" s="1458">
        <v>0</v>
      </c>
      <c r="J202" s="1449" t="s">
        <v>1607</v>
      </c>
    </row>
    <row r="203" spans="2:10" ht="25">
      <c r="B203" s="1229" t="s">
        <v>1597</v>
      </c>
      <c r="C203" s="1447"/>
      <c r="D203" s="1447"/>
      <c r="E203" s="1458">
        <f t="shared" si="7"/>
        <v>-925.04159999999979</v>
      </c>
      <c r="F203" s="1458">
        <v>-925.04159999999979</v>
      </c>
      <c r="G203" s="1458">
        <v>0</v>
      </c>
      <c r="H203" s="1458">
        <v>0</v>
      </c>
      <c r="I203" s="1458">
        <v>0</v>
      </c>
      <c r="J203" s="1449" t="s">
        <v>1607</v>
      </c>
    </row>
    <row r="204" spans="2:10" ht="25">
      <c r="B204" s="1229" t="s">
        <v>1311</v>
      </c>
      <c r="C204" s="1447"/>
      <c r="D204" s="1447"/>
      <c r="E204" s="1458">
        <f t="shared" si="7"/>
        <v>-6820.6581584999803</v>
      </c>
      <c r="F204" s="1458">
        <v>155198.6632999102</v>
      </c>
      <c r="G204" s="1458">
        <v>0</v>
      </c>
      <c r="H204" s="1458">
        <v>-162019.32145841018</v>
      </c>
      <c r="I204" s="1458">
        <v>0</v>
      </c>
      <c r="J204" s="1449" t="s">
        <v>1614</v>
      </c>
    </row>
    <row r="205" spans="2:10" ht="25">
      <c r="B205" s="1229" t="s">
        <v>867</v>
      </c>
      <c r="C205" s="1447"/>
      <c r="D205" s="1447"/>
      <c r="E205" s="1458">
        <f t="shared" si="7"/>
        <v>-2032128.7624439998</v>
      </c>
      <c r="F205" s="1458">
        <v>-2032128.7624439998</v>
      </c>
      <c r="G205" s="1458">
        <v>0</v>
      </c>
      <c r="H205" s="1458">
        <v>0</v>
      </c>
      <c r="I205" s="1458">
        <v>0</v>
      </c>
      <c r="J205" s="1449" t="s">
        <v>1607</v>
      </c>
    </row>
    <row r="206" spans="2:10" ht="25">
      <c r="B206" s="1229" t="s">
        <v>1313</v>
      </c>
      <c r="C206" s="1447"/>
      <c r="D206" s="1447"/>
      <c r="E206" s="1458">
        <f t="shared" si="7"/>
        <v>-27144710</v>
      </c>
      <c r="F206" s="1458">
        <v>-8767741</v>
      </c>
      <c r="G206" s="1458">
        <v>0</v>
      </c>
      <c r="H206" s="1458">
        <v>-18376969</v>
      </c>
      <c r="I206" s="1458">
        <v>0</v>
      </c>
      <c r="J206" s="1449" t="s">
        <v>1613</v>
      </c>
    </row>
    <row r="207" spans="2:10" ht="25">
      <c r="B207" s="1229" t="s">
        <v>1518</v>
      </c>
      <c r="C207" s="1447"/>
      <c r="D207" s="1447"/>
      <c r="E207" s="1458">
        <f t="shared" si="7"/>
        <v>-5749314.0586470002</v>
      </c>
      <c r="F207" s="1458">
        <v>-5749314.0586470002</v>
      </c>
      <c r="G207" s="1458">
        <v>0</v>
      </c>
      <c r="H207" s="1458">
        <v>0</v>
      </c>
      <c r="I207" s="1458">
        <v>0</v>
      </c>
      <c r="J207" s="1449" t="s">
        <v>1607</v>
      </c>
    </row>
    <row r="208" spans="2:10" ht="25">
      <c r="B208" s="1229" t="s">
        <v>1516</v>
      </c>
      <c r="C208" s="1447"/>
      <c r="D208" s="1447"/>
      <c r="E208" s="1458">
        <f t="shared" si="7"/>
        <v>-3986565.1068365001</v>
      </c>
      <c r="F208" s="1458">
        <v>-3986565.1068365001</v>
      </c>
      <c r="G208" s="1458">
        <v>0</v>
      </c>
      <c r="H208" s="1458">
        <v>0</v>
      </c>
      <c r="I208" s="1458">
        <v>0</v>
      </c>
      <c r="J208" s="1449" t="s">
        <v>1607</v>
      </c>
    </row>
    <row r="209" spans="2:10">
      <c r="B209" s="975"/>
      <c r="C209" s="976"/>
      <c r="D209" s="930"/>
      <c r="E209" s="977"/>
      <c r="F209" s="977"/>
      <c r="G209" s="977"/>
      <c r="H209" s="977"/>
      <c r="I209" s="977"/>
      <c r="J209" s="980"/>
    </row>
    <row r="210" spans="2:10" ht="13">
      <c r="B210" s="816" t="s">
        <v>1097</v>
      </c>
      <c r="C210" s="982"/>
      <c r="D210" s="982"/>
      <c r="E210" s="1224">
        <f>SUM(E190:E209)</f>
        <v>-277808007.70986599</v>
      </c>
      <c r="F210" s="1224">
        <f>SUM(F190:F209)</f>
        <v>-200481230.13176203</v>
      </c>
      <c r="G210" s="1224">
        <f>SUM(G190:G209)</f>
        <v>0</v>
      </c>
      <c r="H210" s="1224">
        <f>SUM(H190:H209)</f>
        <v>-23059886.067665339</v>
      </c>
      <c r="I210" s="1224">
        <f>SUM(I190:I209)</f>
        <v>-54266891.510438591</v>
      </c>
      <c r="J210" s="983"/>
    </row>
    <row r="211" spans="2:10" ht="13">
      <c r="B211" s="816"/>
      <c r="C211" s="982"/>
      <c r="D211" s="982"/>
      <c r="E211" s="1224"/>
      <c r="F211" s="1224"/>
      <c r="G211" s="1224"/>
      <c r="H211" s="1224"/>
      <c r="I211" s="1224"/>
      <c r="J211" s="983"/>
    </row>
    <row r="212" spans="2:10">
      <c r="B212" s="1000" t="s">
        <v>904</v>
      </c>
      <c r="C212" s="1001"/>
      <c r="D212" s="1002"/>
      <c r="E212" s="1225">
        <f>SUM(F212:I212)</f>
        <v>0</v>
      </c>
      <c r="F212" s="1226">
        <v>0</v>
      </c>
      <c r="G212" s="1226">
        <v>0</v>
      </c>
      <c r="H212" s="1226">
        <v>0</v>
      </c>
      <c r="I212" s="1226">
        <v>0</v>
      </c>
      <c r="J212" s="818"/>
    </row>
    <row r="213" spans="2:10">
      <c r="B213" s="984" t="s">
        <v>905</v>
      </c>
      <c r="C213" s="985"/>
      <c r="D213" s="1002"/>
      <c r="E213" s="1225">
        <f>SUM(F213:I213)</f>
        <v>0</v>
      </c>
      <c r="F213" s="1226">
        <v>0</v>
      </c>
      <c r="G213" s="1226">
        <v>0</v>
      </c>
      <c r="H213" s="1226">
        <v>0</v>
      </c>
      <c r="I213" s="1226">
        <v>0</v>
      </c>
      <c r="J213" s="818"/>
    </row>
    <row r="214" spans="2:10">
      <c r="B214" s="984" t="s">
        <v>906</v>
      </c>
      <c r="C214" s="985"/>
      <c r="D214" s="1002"/>
      <c r="E214" s="1225">
        <f>SUM(F214:I214)</f>
        <v>0</v>
      </c>
      <c r="F214" s="1226">
        <v>0</v>
      </c>
      <c r="G214" s="1226">
        <v>0</v>
      </c>
      <c r="H214" s="1226">
        <v>0</v>
      </c>
      <c r="I214" s="1226">
        <v>0</v>
      </c>
      <c r="J214" s="818"/>
    </row>
    <row r="215" spans="2:10">
      <c r="B215" s="984" t="s">
        <v>907</v>
      </c>
      <c r="C215" s="985"/>
      <c r="D215" s="1002"/>
      <c r="E215" s="1225">
        <f>SUM(F215:I215)</f>
        <v>0</v>
      </c>
      <c r="F215" s="1226">
        <v>0</v>
      </c>
      <c r="G215" s="1226">
        <v>0</v>
      </c>
      <c r="H215" s="1226">
        <v>0</v>
      </c>
      <c r="I215" s="1226">
        <v>0</v>
      </c>
      <c r="J215" s="818"/>
    </row>
    <row r="216" spans="2:10" ht="5.15" customHeight="1">
      <c r="B216" s="817"/>
      <c r="C216" s="981"/>
      <c r="D216" s="982"/>
      <c r="E216" s="1224"/>
      <c r="F216" s="1224"/>
      <c r="G216" s="1224"/>
      <c r="H216" s="1224"/>
      <c r="I216" s="1224"/>
      <c r="J216" s="983"/>
    </row>
    <row r="217" spans="2:10" ht="13">
      <c r="B217" s="1003" t="s">
        <v>1098</v>
      </c>
      <c r="C217" s="1004"/>
      <c r="D217" s="982"/>
      <c r="E217" s="1224">
        <f>SUM(E212:E215)+E210</f>
        <v>-277808007.70986599</v>
      </c>
      <c r="F217" s="1224">
        <f>SUM(F212:F215)+F210</f>
        <v>-200481230.13176203</v>
      </c>
      <c r="G217" s="1224">
        <f>SUM(G212:G215)+G210</f>
        <v>0</v>
      </c>
      <c r="H217" s="1224">
        <f>SUM(H212:H215)+H210</f>
        <v>-23059886.067665339</v>
      </c>
      <c r="I217" s="1224">
        <f>SUM(I212:I215)+I210</f>
        <v>-54266891.510438591</v>
      </c>
      <c r="J217" s="983"/>
    </row>
    <row r="218" spans="2:10" ht="13">
      <c r="B218" s="1005"/>
      <c r="C218" s="1006"/>
      <c r="D218" s="1006"/>
      <c r="E218" s="989"/>
      <c r="F218" s="1224"/>
      <c r="G218" s="1224"/>
      <c r="H218" s="1224"/>
      <c r="I218" s="1224"/>
      <c r="J218" s="991"/>
    </row>
    <row r="219" spans="2:10" ht="13">
      <c r="B219" s="1007" t="s">
        <v>266</v>
      </c>
      <c r="C219" s="1008"/>
      <c r="D219" s="988"/>
      <c r="E219" s="989"/>
      <c r="F219" s="989"/>
      <c r="G219" s="989"/>
      <c r="H219" s="989"/>
      <c r="I219" s="990">
        <f>'ATT H-2A'!$H$20</f>
        <v>0.13143233299925774</v>
      </c>
      <c r="J219" s="991"/>
    </row>
    <row r="220" spans="2:10" ht="13">
      <c r="B220" s="986" t="s">
        <v>135</v>
      </c>
      <c r="C220" s="987"/>
      <c r="D220" s="988"/>
      <c r="E220" s="989"/>
      <c r="F220" s="989"/>
      <c r="G220" s="989"/>
      <c r="H220" s="990">
        <f>'ATT H-2A'!$H$36</f>
        <v>0.2381948594457306</v>
      </c>
      <c r="I220" s="989"/>
      <c r="J220" s="991"/>
    </row>
    <row r="221" spans="2:10" ht="13">
      <c r="B221" s="986" t="s">
        <v>908</v>
      </c>
      <c r="C221" s="987"/>
      <c r="D221" s="988"/>
      <c r="E221" s="989"/>
      <c r="F221" s="989"/>
      <c r="G221" s="990">
        <v>1</v>
      </c>
      <c r="H221" s="989"/>
      <c r="I221" s="989"/>
      <c r="J221" s="991"/>
    </row>
    <row r="222" spans="2:10" ht="13">
      <c r="B222" s="986" t="s">
        <v>909</v>
      </c>
      <c r="C222" s="987"/>
      <c r="D222" s="988"/>
      <c r="E222" s="989"/>
      <c r="F222" s="990">
        <v>0</v>
      </c>
      <c r="G222" s="989"/>
      <c r="H222" s="989"/>
      <c r="I222" s="989"/>
      <c r="J222" s="991"/>
    </row>
    <row r="223" spans="2:10" ht="17.25" customHeight="1">
      <c r="B223" s="992" t="s">
        <v>910</v>
      </c>
      <c r="C223" s="987"/>
      <c r="D223" s="988"/>
      <c r="E223" s="989">
        <f>F223+G223+H223+I223</f>
        <v>-12625170.476556666</v>
      </c>
      <c r="F223" s="989">
        <f>F222*F217</f>
        <v>0</v>
      </c>
      <c r="G223" s="989">
        <f>G217*G221</f>
        <v>0</v>
      </c>
      <c r="H223" s="989">
        <f>H217*H220</f>
        <v>-5492746.3207221068</v>
      </c>
      <c r="I223" s="989">
        <f>I219*I217</f>
        <v>-7132424.1558345584</v>
      </c>
      <c r="J223" s="991"/>
    </row>
    <row r="224" spans="2:10" ht="12.75" customHeight="1">
      <c r="B224" s="1025"/>
      <c r="C224" s="1027"/>
      <c r="D224" s="1027"/>
      <c r="E224" s="1472"/>
      <c r="F224" s="1027"/>
      <c r="G224" s="1027"/>
      <c r="H224" s="1027"/>
      <c r="I224" s="1027"/>
      <c r="J224" s="1027"/>
    </row>
    <row r="225" spans="2:10" ht="13">
      <c r="B225" s="931"/>
      <c r="C225" s="931"/>
      <c r="D225" s="931"/>
      <c r="E225" s="1472"/>
      <c r="F225" s="1472"/>
      <c r="G225" s="931"/>
      <c r="H225" s="931"/>
      <c r="I225" s="931"/>
      <c r="J225" s="931"/>
    </row>
    <row r="226" spans="2:10" ht="13">
      <c r="B226" s="931" t="s">
        <v>799</v>
      </c>
      <c r="C226" s="968"/>
      <c r="D226" s="968"/>
      <c r="E226" s="931" t="s">
        <v>800</v>
      </c>
      <c r="F226" s="931" t="s">
        <v>801</v>
      </c>
      <c r="G226" s="931" t="s">
        <v>802</v>
      </c>
      <c r="H226" s="931" t="s">
        <v>962</v>
      </c>
      <c r="I226" s="931" t="s">
        <v>804</v>
      </c>
      <c r="J226" s="931" t="s">
        <v>805</v>
      </c>
    </row>
    <row r="227" spans="2:10" ht="13">
      <c r="B227" s="964"/>
      <c r="C227" s="968"/>
      <c r="D227" s="968"/>
      <c r="E227" s="931"/>
      <c r="F227" s="931" t="s">
        <v>972</v>
      </c>
      <c r="G227" s="931" t="s">
        <v>363</v>
      </c>
      <c r="H227" s="931"/>
      <c r="I227" s="931"/>
      <c r="J227" s="968"/>
    </row>
    <row r="228" spans="2:10" ht="13">
      <c r="B228" s="1009"/>
      <c r="C228" s="968"/>
      <c r="D228" s="968"/>
      <c r="E228" s="931"/>
      <c r="F228" s="931" t="s">
        <v>1075</v>
      </c>
      <c r="G228" s="931" t="s">
        <v>348</v>
      </c>
      <c r="H228" s="931" t="s">
        <v>360</v>
      </c>
      <c r="I228" s="931" t="s">
        <v>362</v>
      </c>
      <c r="J228" s="968"/>
    </row>
    <row r="229" spans="2:10" ht="13">
      <c r="B229" s="964" t="s">
        <v>1099</v>
      </c>
      <c r="E229" s="931" t="s">
        <v>292</v>
      </c>
      <c r="F229" s="958" t="s">
        <v>973</v>
      </c>
      <c r="G229" s="931" t="s">
        <v>361</v>
      </c>
      <c r="H229" s="931" t="s">
        <v>361</v>
      </c>
      <c r="I229" s="931" t="s">
        <v>361</v>
      </c>
      <c r="J229" s="931" t="s">
        <v>111</v>
      </c>
    </row>
    <row r="230" spans="2:10">
      <c r="B230" s="975"/>
      <c r="C230" s="976"/>
      <c r="D230" s="930"/>
      <c r="E230" s="977"/>
      <c r="F230" s="977"/>
      <c r="G230" s="977"/>
      <c r="H230" s="977"/>
      <c r="I230" s="977"/>
      <c r="J230" s="978"/>
    </row>
    <row r="231" spans="2:10">
      <c r="B231" s="975"/>
      <c r="C231" s="976"/>
      <c r="D231" s="930"/>
      <c r="E231" s="977"/>
      <c r="F231" s="977"/>
      <c r="G231" s="977"/>
      <c r="H231" s="977"/>
      <c r="I231" s="977"/>
      <c r="J231" s="978"/>
    </row>
    <row r="232" spans="2:10">
      <c r="B232" s="975"/>
      <c r="C232" s="976"/>
      <c r="D232" s="930"/>
      <c r="E232" s="977"/>
      <c r="F232" s="977"/>
      <c r="G232" s="977"/>
      <c r="H232" s="977"/>
      <c r="I232" s="977"/>
      <c r="J232" s="978"/>
    </row>
    <row r="233" spans="2:10">
      <c r="B233" s="975"/>
      <c r="C233" s="976"/>
      <c r="D233" s="930"/>
      <c r="E233" s="977"/>
      <c r="F233" s="977"/>
      <c r="G233" s="977"/>
      <c r="H233" s="977"/>
      <c r="I233" s="977"/>
      <c r="J233" s="978"/>
    </row>
    <row r="234" spans="2:10">
      <c r="B234" s="975"/>
      <c r="C234" s="976"/>
      <c r="D234" s="930"/>
      <c r="E234" s="977"/>
      <c r="F234" s="977"/>
      <c r="G234" s="977"/>
      <c r="H234" s="977"/>
      <c r="I234" s="977"/>
      <c r="J234" s="978"/>
    </row>
    <row r="235" spans="2:10">
      <c r="B235" s="975"/>
      <c r="C235" s="976"/>
      <c r="D235" s="930"/>
      <c r="E235" s="977"/>
      <c r="F235" s="977"/>
      <c r="G235" s="977"/>
      <c r="H235" s="977"/>
      <c r="I235" s="977"/>
      <c r="J235" s="978"/>
    </row>
    <row r="236" spans="2:10">
      <c r="B236" s="975"/>
      <c r="C236" s="976"/>
      <c r="D236" s="930"/>
      <c r="E236" s="977"/>
      <c r="F236" s="977"/>
      <c r="G236" s="977"/>
      <c r="H236" s="977"/>
      <c r="I236" s="977"/>
      <c r="J236" s="980"/>
    </row>
    <row r="237" spans="2:10" ht="13">
      <c r="B237" s="816" t="s">
        <v>1100</v>
      </c>
      <c r="C237" s="982"/>
      <c r="D237" s="1224"/>
      <c r="E237" s="1224">
        <f>SUM(E230:E236)</f>
        <v>0</v>
      </c>
      <c r="F237" s="1224">
        <f>SUM(F230:F236)</f>
        <v>0</v>
      </c>
      <c r="G237" s="1224">
        <f>SUM(G230:G236)</f>
        <v>0</v>
      </c>
      <c r="H237" s="1224">
        <f>SUM(H230:H236)</f>
        <v>0</v>
      </c>
      <c r="I237" s="1224">
        <f>SUM(I230:I236)</f>
        <v>0</v>
      </c>
      <c r="J237" s="983"/>
    </row>
    <row r="238" spans="2:10" ht="13">
      <c r="B238" s="816"/>
      <c r="C238" s="982"/>
      <c r="D238" s="982"/>
      <c r="E238" s="1224"/>
      <c r="F238" s="1224"/>
      <c r="G238" s="1224"/>
      <c r="H238" s="1224"/>
      <c r="I238" s="1224"/>
      <c r="J238" s="983"/>
    </row>
    <row r="239" spans="2:10">
      <c r="B239" s="1000" t="s">
        <v>904</v>
      </c>
      <c r="C239" s="1001"/>
      <c r="D239" s="1002"/>
      <c r="E239" s="1225">
        <f>SUM(F239:I239)</f>
        <v>0</v>
      </c>
      <c r="F239" s="1226"/>
      <c r="G239" s="1226"/>
      <c r="H239" s="1226"/>
      <c r="I239" s="1226"/>
      <c r="J239" s="818"/>
    </row>
    <row r="240" spans="2:10">
      <c r="B240" s="984" t="s">
        <v>905</v>
      </c>
      <c r="C240" s="985"/>
      <c r="D240" s="1002"/>
      <c r="E240" s="1225">
        <f>SUM(F240:I240)</f>
        <v>0</v>
      </c>
      <c r="F240" s="1226"/>
      <c r="G240" s="1226"/>
      <c r="H240" s="1226"/>
      <c r="I240" s="1226"/>
      <c r="J240" s="818"/>
    </row>
    <row r="241" spans="2:10">
      <c r="B241" s="984" t="s">
        <v>906</v>
      </c>
      <c r="C241" s="985"/>
      <c r="D241" s="1002"/>
      <c r="E241" s="1225">
        <f>SUM(F241:I241)</f>
        <v>0</v>
      </c>
      <c r="F241" s="1226"/>
      <c r="G241" s="1226"/>
      <c r="H241" s="1226"/>
      <c r="I241" s="1226"/>
      <c r="J241" s="818"/>
    </row>
    <row r="242" spans="2:10">
      <c r="B242" s="984" t="s">
        <v>907</v>
      </c>
      <c r="C242" s="985"/>
      <c r="D242" s="1002"/>
      <c r="E242" s="1225">
        <f>SUM(F242:I242)</f>
        <v>0</v>
      </c>
      <c r="F242" s="1226"/>
      <c r="G242" s="1226"/>
      <c r="H242" s="1226"/>
      <c r="I242" s="1226"/>
      <c r="J242" s="818"/>
    </row>
    <row r="243" spans="2:10" ht="5.15" customHeight="1">
      <c r="B243" s="817"/>
      <c r="C243" s="981"/>
      <c r="D243" s="982"/>
      <c r="E243" s="1224"/>
      <c r="F243" s="1224"/>
      <c r="G243" s="1224"/>
      <c r="H243" s="1224"/>
      <c r="I243" s="1224"/>
      <c r="J243" s="983"/>
    </row>
    <row r="244" spans="2:10" ht="13">
      <c r="B244" s="1003" t="s">
        <v>1101</v>
      </c>
      <c r="C244" s="1004"/>
      <c r="D244" s="982"/>
      <c r="E244" s="1224">
        <f>SUM(E239:E242)+E237</f>
        <v>0</v>
      </c>
      <c r="F244" s="1224">
        <f>SUM(F239:F242)+F237</f>
        <v>0</v>
      </c>
      <c r="G244" s="1224">
        <f>SUM(G239:G242)+G237</f>
        <v>0</v>
      </c>
      <c r="H244" s="1224">
        <f>SUM(H239:H242)+H237</f>
        <v>0</v>
      </c>
      <c r="I244" s="1224">
        <f>SUM(I239:I242)+I237</f>
        <v>0</v>
      </c>
      <c r="J244" s="983"/>
    </row>
    <row r="245" spans="2:10" ht="13">
      <c r="B245" s="1005"/>
      <c r="C245" s="1006"/>
      <c r="D245" s="1006"/>
      <c r="E245" s="989"/>
      <c r="F245" s="1224"/>
      <c r="G245" s="1224"/>
      <c r="H245" s="1224"/>
      <c r="I245" s="1224"/>
      <c r="J245" s="991"/>
    </row>
    <row r="246" spans="2:10" ht="13">
      <c r="B246" s="1007" t="s">
        <v>266</v>
      </c>
      <c r="C246" s="1008"/>
      <c r="D246" s="988"/>
      <c r="E246" s="989"/>
      <c r="F246" s="989"/>
      <c r="G246" s="989"/>
      <c r="H246" s="989"/>
      <c r="I246" s="990">
        <f>'ATT H-2A'!$H$20</f>
        <v>0.13143233299925774</v>
      </c>
      <c r="J246" s="991"/>
    </row>
    <row r="247" spans="2:10" ht="13">
      <c r="B247" s="986" t="s">
        <v>135</v>
      </c>
      <c r="C247" s="987"/>
      <c r="D247" s="988"/>
      <c r="E247" s="989"/>
      <c r="F247" s="989"/>
      <c r="G247" s="989"/>
      <c r="H247" s="990">
        <f>'ATT H-2A'!$H$36</f>
        <v>0.2381948594457306</v>
      </c>
      <c r="I247" s="989"/>
      <c r="J247" s="991"/>
    </row>
    <row r="248" spans="2:10" ht="13">
      <c r="B248" s="986" t="s">
        <v>908</v>
      </c>
      <c r="C248" s="987"/>
      <c r="D248" s="988"/>
      <c r="E248" s="989"/>
      <c r="F248" s="989"/>
      <c r="G248" s="990">
        <v>1</v>
      </c>
      <c r="H248" s="989"/>
      <c r="I248" s="989"/>
      <c r="J248" s="991"/>
    </row>
    <row r="249" spans="2:10" ht="13">
      <c r="B249" s="986" t="s">
        <v>909</v>
      </c>
      <c r="C249" s="987"/>
      <c r="D249" s="988"/>
      <c r="E249" s="989"/>
      <c r="F249" s="990">
        <v>0</v>
      </c>
      <c r="G249" s="989"/>
      <c r="H249" s="989"/>
      <c r="I249" s="989"/>
      <c r="J249" s="991"/>
    </row>
    <row r="250" spans="2:10" ht="13">
      <c r="B250" s="992" t="s">
        <v>910</v>
      </c>
      <c r="C250" s="987"/>
      <c r="D250" s="988"/>
      <c r="E250" s="989">
        <f>F250+G250+H250+I250</f>
        <v>0</v>
      </c>
      <c r="F250" s="989">
        <f>F249*F244</f>
        <v>0</v>
      </c>
      <c r="G250" s="989">
        <f>G244*G248</f>
        <v>0</v>
      </c>
      <c r="H250" s="989">
        <f>H244*H247</f>
        <v>0</v>
      </c>
      <c r="I250" s="989">
        <f>I246*I244</f>
        <v>0</v>
      </c>
      <c r="J250" s="991"/>
    </row>
    <row r="251" spans="2:10" ht="13">
      <c r="B251" s="993"/>
      <c r="E251" s="962"/>
      <c r="F251" s="962"/>
      <c r="G251" s="962"/>
      <c r="H251" s="962"/>
      <c r="I251" s="962"/>
      <c r="J251" s="994"/>
    </row>
    <row r="252" spans="2:10" ht="13">
      <c r="B252" s="993"/>
      <c r="E252" s="962"/>
      <c r="F252" s="962"/>
      <c r="G252" s="962"/>
      <c r="H252" s="962"/>
      <c r="I252" s="962"/>
      <c r="J252" s="994"/>
    </row>
    <row r="253" spans="2:10" ht="13">
      <c r="B253" s="931"/>
      <c r="C253" s="931"/>
      <c r="D253" s="931"/>
      <c r="E253" s="931"/>
      <c r="F253" s="931"/>
      <c r="G253" s="931"/>
      <c r="H253" s="931"/>
      <c r="I253" s="931"/>
      <c r="J253" s="931"/>
    </row>
    <row r="254" spans="2:10" ht="13">
      <c r="B254" s="931" t="s">
        <v>799</v>
      </c>
      <c r="C254" s="968"/>
      <c r="D254" s="968"/>
      <c r="E254" s="931" t="s">
        <v>800</v>
      </c>
      <c r="F254" s="931" t="s">
        <v>801</v>
      </c>
      <c r="G254" s="931" t="s">
        <v>802</v>
      </c>
      <c r="H254" s="931" t="s">
        <v>962</v>
      </c>
      <c r="I254" s="931" t="s">
        <v>804</v>
      </c>
      <c r="J254" s="931" t="s">
        <v>805</v>
      </c>
    </row>
    <row r="255" spans="2:10" ht="13">
      <c r="B255" s="964"/>
      <c r="C255" s="968"/>
      <c r="D255" s="968"/>
      <c r="E255" s="931"/>
      <c r="F255" s="931" t="s">
        <v>972</v>
      </c>
      <c r="G255" s="931" t="s">
        <v>363</v>
      </c>
      <c r="H255" s="931"/>
      <c r="I255" s="931"/>
      <c r="J255" s="968"/>
    </row>
    <row r="256" spans="2:10" ht="13">
      <c r="B256" s="1009"/>
      <c r="C256" s="968"/>
      <c r="D256" s="968"/>
      <c r="E256" s="931"/>
      <c r="F256" s="931" t="s">
        <v>1075</v>
      </c>
      <c r="G256" s="931" t="s">
        <v>348</v>
      </c>
      <c r="H256" s="931" t="s">
        <v>360</v>
      </c>
      <c r="I256" s="931" t="s">
        <v>362</v>
      </c>
      <c r="J256" s="968"/>
    </row>
    <row r="257" spans="2:11" ht="16.5" customHeight="1">
      <c r="B257" s="964" t="s">
        <v>1102</v>
      </c>
      <c r="E257" s="931" t="s">
        <v>292</v>
      </c>
      <c r="F257" s="958" t="s">
        <v>973</v>
      </c>
      <c r="G257" s="931" t="s">
        <v>361</v>
      </c>
      <c r="H257" s="931" t="s">
        <v>361</v>
      </c>
      <c r="I257" s="931" t="s">
        <v>361</v>
      </c>
      <c r="J257" s="931" t="s">
        <v>111</v>
      </c>
    </row>
    <row r="258" spans="2:11">
      <c r="B258" s="988" t="s">
        <v>1103</v>
      </c>
      <c r="C258" s="988"/>
      <c r="D258" s="988"/>
      <c r="E258" s="1224">
        <f>SUM(F258:I258)</f>
        <v>-277808007.70986593</v>
      </c>
      <c r="F258" s="989">
        <f>F210</f>
        <v>-200481230.13176203</v>
      </c>
      <c r="G258" s="989">
        <f>G210</f>
        <v>0</v>
      </c>
      <c r="H258" s="989">
        <f>H210</f>
        <v>-23059886.067665339</v>
      </c>
      <c r="I258" s="989">
        <f>I210</f>
        <v>-54266891.510438591</v>
      </c>
      <c r="J258" s="991"/>
    </row>
    <row r="259" spans="2:11">
      <c r="B259" s="988" t="s">
        <v>1102</v>
      </c>
      <c r="C259" s="988"/>
      <c r="D259" s="988"/>
      <c r="E259" s="1224">
        <f>SUM(F259:I259)</f>
        <v>0</v>
      </c>
      <c r="F259" s="989">
        <f>F237</f>
        <v>0</v>
      </c>
      <c r="G259" s="989">
        <f>G237</f>
        <v>0</v>
      </c>
      <c r="H259" s="989">
        <f>H237</f>
        <v>0</v>
      </c>
      <c r="I259" s="989">
        <f>I237</f>
        <v>0</v>
      </c>
      <c r="J259" s="991"/>
    </row>
    <row r="260" spans="2:11" ht="13">
      <c r="B260" s="816" t="s">
        <v>1456</v>
      </c>
      <c r="C260" s="988"/>
      <c r="D260" s="988"/>
      <c r="E260" s="989">
        <f>E258+E259</f>
        <v>-277808007.70986593</v>
      </c>
      <c r="F260" s="989">
        <f>F258+F259</f>
        <v>-200481230.13176203</v>
      </c>
      <c r="G260" s="989">
        <f>G258+G259</f>
        <v>0</v>
      </c>
      <c r="H260" s="989">
        <f>H258+H259</f>
        <v>-23059886.067665339</v>
      </c>
      <c r="I260" s="989">
        <f>I258+I259</f>
        <v>-54266891.510438591</v>
      </c>
      <c r="J260" s="991"/>
    </row>
    <row r="261" spans="2:11" ht="13">
      <c r="B261" s="993"/>
      <c r="E261" s="962"/>
      <c r="F261" s="962"/>
      <c r="G261" s="962"/>
      <c r="H261" s="962"/>
      <c r="I261" s="962"/>
      <c r="J261" s="994"/>
    </row>
    <row r="262" spans="2:11" s="968" customFormat="1" ht="13">
      <c r="B262" s="964" t="s">
        <v>365</v>
      </c>
      <c r="G262" s="1014"/>
      <c r="H262" s="1014"/>
      <c r="I262" s="1014"/>
      <c r="J262" s="1015"/>
    </row>
    <row r="263" spans="2:11" s="968" customFormat="1" ht="13">
      <c r="B263" s="1531" t="s">
        <v>980</v>
      </c>
      <c r="C263" s="1531"/>
      <c r="D263" s="1531"/>
      <c r="E263" s="1531"/>
      <c r="F263" s="1531"/>
      <c r="G263" s="1531"/>
      <c r="H263" s="1531"/>
      <c r="I263" s="1531"/>
      <c r="J263" s="1015"/>
    </row>
    <row r="264" spans="2:11" s="968" customFormat="1" ht="13">
      <c r="B264" s="1024" t="s">
        <v>964</v>
      </c>
      <c r="G264" s="1014"/>
      <c r="H264" s="1014"/>
      <c r="I264" s="1014"/>
      <c r="J264" s="1015"/>
    </row>
    <row r="265" spans="2:11" s="968" customFormat="1" ht="13">
      <c r="B265" s="1024" t="s">
        <v>965</v>
      </c>
      <c r="G265" s="1014"/>
      <c r="H265" s="1014"/>
      <c r="I265" s="1014"/>
      <c r="J265" s="1015"/>
    </row>
    <row r="266" spans="2:11" s="968" customFormat="1" ht="13">
      <c r="B266" s="1024" t="s">
        <v>966</v>
      </c>
      <c r="G266" s="1014"/>
      <c r="H266" s="1014"/>
      <c r="I266" s="1014"/>
      <c r="J266" s="1015"/>
    </row>
    <row r="267" spans="2:11" s="968" customFormat="1" ht="15.75" customHeight="1">
      <c r="B267" s="1526" t="s">
        <v>1104</v>
      </c>
      <c r="C267" s="1526"/>
      <c r="D267" s="1526"/>
      <c r="E267" s="1526"/>
      <c r="F267" s="1526"/>
      <c r="G267" s="1526"/>
      <c r="H267" s="1526"/>
      <c r="I267" s="1526"/>
      <c r="K267" s="1018"/>
    </row>
    <row r="268" spans="2:11" s="968" customFormat="1" ht="15.75" customHeight="1">
      <c r="B268" s="1526"/>
      <c r="C268" s="1526"/>
      <c r="D268" s="1526"/>
      <c r="E268" s="1526"/>
      <c r="F268" s="1526"/>
      <c r="G268" s="1526"/>
      <c r="H268" s="1526"/>
      <c r="I268" s="1526"/>
      <c r="K268" s="1018"/>
    </row>
    <row r="269" spans="2:11" s="968" customFormat="1" ht="13">
      <c r="B269" s="1017" t="s">
        <v>1105</v>
      </c>
      <c r="G269" s="1014"/>
      <c r="H269" s="1014"/>
      <c r="I269" s="1014"/>
      <c r="J269" s="1015"/>
    </row>
    <row r="270" spans="2:11" ht="12" customHeight="1">
      <c r="B270" s="1025"/>
      <c r="C270" s="1026"/>
      <c r="D270" s="1027"/>
      <c r="E270" s="1027"/>
      <c r="F270" s="1027"/>
      <c r="G270" s="1027"/>
      <c r="H270" s="1027"/>
      <c r="I270" s="1027"/>
      <c r="J270" s="1027"/>
    </row>
    <row r="271" spans="2:11" ht="12.75" customHeight="1">
      <c r="B271" s="1025"/>
      <c r="C271" s="1027"/>
      <c r="D271" s="1027"/>
      <c r="E271" s="1027"/>
      <c r="F271" s="1027"/>
      <c r="G271" s="1027"/>
      <c r="H271" s="1027"/>
      <c r="I271" s="1027"/>
      <c r="J271" s="1027"/>
    </row>
    <row r="272" spans="2:11" ht="13">
      <c r="B272" s="931" t="s">
        <v>799</v>
      </c>
      <c r="C272" s="968"/>
      <c r="D272" s="968"/>
      <c r="E272" s="931" t="s">
        <v>800</v>
      </c>
      <c r="F272" s="931" t="s">
        <v>801</v>
      </c>
      <c r="G272" s="931" t="s">
        <v>802</v>
      </c>
      <c r="H272" s="931" t="s">
        <v>962</v>
      </c>
      <c r="I272" s="931" t="s">
        <v>804</v>
      </c>
      <c r="J272" s="931" t="s">
        <v>805</v>
      </c>
    </row>
    <row r="273" spans="2:10" ht="13">
      <c r="B273" s="964"/>
      <c r="C273" s="968"/>
      <c r="D273" s="968"/>
      <c r="E273" s="931"/>
      <c r="F273" s="931" t="s">
        <v>972</v>
      </c>
      <c r="G273" s="931" t="s">
        <v>363</v>
      </c>
      <c r="H273" s="931"/>
      <c r="I273" s="931"/>
      <c r="J273" s="968"/>
    </row>
    <row r="274" spans="2:10" ht="13">
      <c r="B274" s="1009"/>
      <c r="C274" s="968"/>
      <c r="D274" s="968"/>
      <c r="E274" s="931"/>
      <c r="F274" s="931" t="s">
        <v>1075</v>
      </c>
      <c r="G274" s="931" t="s">
        <v>348</v>
      </c>
      <c r="H274" s="931" t="s">
        <v>360</v>
      </c>
      <c r="I274" s="931" t="s">
        <v>362</v>
      </c>
      <c r="J274" s="968"/>
    </row>
    <row r="275" spans="2:10" ht="13">
      <c r="B275" s="964" t="s">
        <v>1106</v>
      </c>
      <c r="E275" s="931" t="s">
        <v>292</v>
      </c>
      <c r="F275" s="958" t="s">
        <v>973</v>
      </c>
      <c r="G275" s="931" t="s">
        <v>361</v>
      </c>
      <c r="H275" s="931" t="s">
        <v>361</v>
      </c>
      <c r="I275" s="931" t="s">
        <v>361</v>
      </c>
      <c r="J275" s="931" t="s">
        <v>111</v>
      </c>
    </row>
    <row r="276" spans="2:10">
      <c r="B276" s="1227"/>
      <c r="C276" s="995"/>
      <c r="D276" s="997"/>
      <c r="E276" s="1226"/>
      <c r="F276" s="1226"/>
      <c r="G276" s="1226"/>
      <c r="H276" s="1226"/>
      <c r="I276" s="1226"/>
      <c r="J276" s="1234"/>
    </row>
    <row r="277" spans="2:10" ht="25">
      <c r="B277" s="1235" t="s">
        <v>1107</v>
      </c>
      <c r="C277" s="1028"/>
      <c r="D277" s="1029"/>
      <c r="E277" s="1236">
        <f>F277+G277+H277</f>
        <v>-2035871</v>
      </c>
      <c r="F277" s="1236">
        <v>-1500952</v>
      </c>
      <c r="G277" s="1236">
        <v>0</v>
      </c>
      <c r="H277" s="1236">
        <v>-534919</v>
      </c>
      <c r="I277" s="1236">
        <v>0</v>
      </c>
      <c r="J277" s="1234" t="s">
        <v>1315</v>
      </c>
    </row>
    <row r="278" spans="2:10">
      <c r="B278" s="1227"/>
      <c r="C278" s="995"/>
      <c r="D278" s="997"/>
      <c r="E278" s="1236"/>
      <c r="F278" s="1236"/>
      <c r="G278" s="1236"/>
      <c r="H278" s="1236"/>
      <c r="I278" s="1226"/>
      <c r="J278" s="1234"/>
    </row>
    <row r="279" spans="2:10">
      <c r="B279" s="1227"/>
      <c r="C279" s="995"/>
      <c r="D279" s="997"/>
      <c r="E279" s="1226"/>
      <c r="F279" s="1226"/>
      <c r="G279" s="1226"/>
      <c r="H279" s="1226"/>
      <c r="I279" s="1226"/>
      <c r="J279" s="1234"/>
    </row>
    <row r="280" spans="2:10">
      <c r="B280" s="1227"/>
      <c r="C280" s="995"/>
      <c r="D280" s="997"/>
      <c r="E280" s="1226"/>
      <c r="F280" s="1226"/>
      <c r="G280" s="1226"/>
      <c r="H280" s="1226"/>
      <c r="I280" s="1226"/>
      <c r="J280" s="1234"/>
    </row>
    <row r="281" spans="2:10">
      <c r="B281" s="1227"/>
      <c r="C281" s="995"/>
      <c r="D281" s="997"/>
      <c r="E281" s="1226"/>
      <c r="F281" s="1226"/>
      <c r="G281" s="1226"/>
      <c r="H281" s="1226"/>
      <c r="I281" s="1226"/>
      <c r="J281" s="1234"/>
    </row>
    <row r="282" spans="2:10">
      <c r="B282" s="1227"/>
      <c r="C282" s="995"/>
      <c r="D282" s="997"/>
      <c r="E282" s="1226"/>
      <c r="F282" s="1226"/>
      <c r="G282" s="1226"/>
      <c r="H282" s="1226"/>
      <c r="I282" s="1226"/>
      <c r="J282" s="1234"/>
    </row>
    <row r="283" spans="2:10" ht="13">
      <c r="B283" s="816" t="s">
        <v>1458</v>
      </c>
      <c r="C283" s="1004"/>
      <c r="D283" s="982"/>
      <c r="E283" s="1224">
        <f>SUM(E276:E282)</f>
        <v>-2035871</v>
      </c>
      <c r="F283" s="1224">
        <f>SUM(F276:F282)</f>
        <v>-1500952</v>
      </c>
      <c r="G283" s="1224">
        <f>SUM(G276:G282)</f>
        <v>0</v>
      </c>
      <c r="H283" s="1224">
        <f>SUM(H276:H282)</f>
        <v>-534919</v>
      </c>
      <c r="I283" s="1224">
        <f>SUM(I276:I282)</f>
        <v>0</v>
      </c>
      <c r="J283" s="983"/>
    </row>
    <row r="284" spans="2:10" ht="13">
      <c r="B284" s="816"/>
      <c r="C284" s="982"/>
      <c r="D284" s="982"/>
      <c r="E284" s="1224"/>
      <c r="F284" s="1224"/>
      <c r="G284" s="1224"/>
      <c r="H284" s="1224"/>
      <c r="I284" s="1224"/>
      <c r="J284" s="983"/>
    </row>
    <row r="285" spans="2:10">
      <c r="B285" s="984" t="s">
        <v>1108</v>
      </c>
      <c r="C285" s="985"/>
      <c r="D285" s="1002"/>
      <c r="E285" s="1225">
        <f>SUM(F285:I285)</f>
        <v>2035871</v>
      </c>
      <c r="F285" s="1226">
        <f>-F277</f>
        <v>1500952</v>
      </c>
      <c r="G285" s="1226"/>
      <c r="H285" s="1226">
        <f>-H277</f>
        <v>534919</v>
      </c>
      <c r="I285" s="1226"/>
      <c r="J285" s="818"/>
    </row>
    <row r="286" spans="2:10" ht="5.15" customHeight="1">
      <c r="B286" s="817"/>
      <c r="C286" s="981"/>
      <c r="D286" s="982"/>
      <c r="E286" s="1224"/>
      <c r="F286" s="1224"/>
      <c r="G286" s="1224"/>
      <c r="H286" s="1224"/>
      <c r="I286" s="1224"/>
      <c r="J286" s="983"/>
    </row>
    <row r="287" spans="2:10" ht="13">
      <c r="B287" s="816" t="s">
        <v>1109</v>
      </c>
      <c r="C287" s="982"/>
      <c r="D287" s="982"/>
      <c r="E287" s="1224">
        <f>SUM(E285:E285)+E283</f>
        <v>0</v>
      </c>
      <c r="F287" s="1224">
        <f>SUM(F285:F285)+F283</f>
        <v>0</v>
      </c>
      <c r="G287" s="1224">
        <f>SUM(G285:G285)+G283</f>
        <v>0</v>
      </c>
      <c r="H287" s="1224">
        <f>SUM(H285:H285)+H283</f>
        <v>0</v>
      </c>
      <c r="I287" s="1224">
        <f>SUM(I285:I285)+I283</f>
        <v>0</v>
      </c>
      <c r="J287" s="983"/>
    </row>
    <row r="288" spans="2:10" ht="13">
      <c r="B288" s="816"/>
      <c r="C288" s="982"/>
      <c r="D288" s="988"/>
      <c r="E288" s="989"/>
      <c r="F288" s="1224"/>
      <c r="G288" s="1224"/>
      <c r="H288" s="1224"/>
      <c r="I288" s="1224"/>
      <c r="J288" s="991"/>
    </row>
    <row r="289" spans="2:10" ht="13">
      <c r="B289" s="986" t="s">
        <v>266</v>
      </c>
      <c r="C289" s="987"/>
      <c r="D289" s="988"/>
      <c r="E289" s="989"/>
      <c r="F289" s="989"/>
      <c r="G289" s="989"/>
      <c r="H289" s="989"/>
      <c r="I289" s="990">
        <f>'ATT H-2A'!$H$20</f>
        <v>0.13143233299925774</v>
      </c>
      <c r="J289" s="991"/>
    </row>
    <row r="290" spans="2:10" ht="13">
      <c r="B290" s="986" t="s">
        <v>279</v>
      </c>
      <c r="C290" s="987"/>
      <c r="D290" s="988"/>
      <c r="E290" s="989"/>
      <c r="F290" s="989"/>
      <c r="G290" s="989"/>
      <c r="H290" s="990">
        <f>'ATT H-2A'!$H$39</f>
        <v>0.27803363792827679</v>
      </c>
      <c r="I290" s="989"/>
      <c r="J290" s="991"/>
    </row>
    <row r="291" spans="2:10" ht="13">
      <c r="B291" s="986" t="s">
        <v>908</v>
      </c>
      <c r="C291" s="987"/>
      <c r="D291" s="988"/>
      <c r="E291" s="989"/>
      <c r="F291" s="989"/>
      <c r="G291" s="990">
        <v>1</v>
      </c>
      <c r="H291" s="989"/>
      <c r="I291" s="989"/>
      <c r="J291" s="991"/>
    </row>
    <row r="292" spans="2:10" ht="13">
      <c r="B292" s="986" t="s">
        <v>909</v>
      </c>
      <c r="C292" s="987"/>
      <c r="D292" s="988"/>
      <c r="E292" s="989"/>
      <c r="F292" s="990">
        <v>0</v>
      </c>
      <c r="G292" s="989"/>
      <c r="H292" s="989"/>
      <c r="I292" s="989"/>
      <c r="J292" s="991"/>
    </row>
    <row r="293" spans="2:10" ht="13">
      <c r="B293" s="992" t="s">
        <v>1110</v>
      </c>
      <c r="C293" s="987"/>
      <c r="D293" s="988"/>
      <c r="E293" s="989">
        <f>F293+G293+H293+I293</f>
        <v>0</v>
      </c>
      <c r="F293" s="989">
        <f>F292*F287</f>
        <v>0</v>
      </c>
      <c r="G293" s="989">
        <f>G287*G291</f>
        <v>0</v>
      </c>
      <c r="H293" s="989">
        <f>H287*H290</f>
        <v>0</v>
      </c>
      <c r="I293" s="989">
        <f>I289*I287</f>
        <v>0</v>
      </c>
      <c r="J293" s="991"/>
    </row>
    <row r="294" spans="2:10" ht="12.75" customHeight="1">
      <c r="B294" s="1025"/>
      <c r="C294" s="1027"/>
      <c r="D294" s="1027"/>
      <c r="E294" s="1027"/>
      <c r="F294" s="1027"/>
      <c r="G294" s="1027"/>
      <c r="H294" s="1027"/>
      <c r="I294" s="1027"/>
      <c r="J294" s="1027"/>
    </row>
    <row r="295" spans="2:10" ht="12.75" customHeight="1">
      <c r="B295" s="1025"/>
      <c r="C295" s="1027"/>
      <c r="D295" s="1027"/>
      <c r="E295" s="1027"/>
      <c r="F295" s="1027"/>
      <c r="G295" s="1027"/>
      <c r="H295" s="1027"/>
      <c r="I295" s="1027"/>
      <c r="J295" s="1027"/>
    </row>
    <row r="296" spans="2:10" ht="13">
      <c r="B296" s="931" t="s">
        <v>799</v>
      </c>
      <c r="C296" s="968"/>
      <c r="D296" s="968"/>
      <c r="E296" s="931" t="s">
        <v>800</v>
      </c>
      <c r="F296" s="931" t="s">
        <v>801</v>
      </c>
      <c r="G296" s="931" t="s">
        <v>802</v>
      </c>
      <c r="H296" s="931" t="s">
        <v>962</v>
      </c>
      <c r="I296" s="931" t="s">
        <v>804</v>
      </c>
      <c r="J296" s="931" t="s">
        <v>805</v>
      </c>
    </row>
    <row r="297" spans="2:10" ht="13">
      <c r="B297" s="964"/>
      <c r="C297" s="968"/>
      <c r="D297" s="968"/>
      <c r="E297" s="931"/>
      <c r="F297" s="931" t="s">
        <v>972</v>
      </c>
      <c r="G297" s="931" t="s">
        <v>363</v>
      </c>
      <c r="H297" s="931"/>
      <c r="I297" s="931"/>
      <c r="J297" s="968"/>
    </row>
    <row r="298" spans="2:10" ht="13">
      <c r="B298" s="1009"/>
      <c r="C298" s="968"/>
      <c r="D298" s="968"/>
      <c r="E298" s="931"/>
      <c r="F298" s="931" t="s">
        <v>1075</v>
      </c>
      <c r="G298" s="931" t="s">
        <v>348</v>
      </c>
      <c r="H298" s="931" t="s">
        <v>360</v>
      </c>
      <c r="I298" s="931" t="s">
        <v>362</v>
      </c>
      <c r="J298" s="968"/>
    </row>
    <row r="299" spans="2:10" ht="13">
      <c r="B299" s="964" t="s">
        <v>1111</v>
      </c>
      <c r="E299" s="931" t="s">
        <v>292</v>
      </c>
      <c r="F299" s="958" t="s">
        <v>973</v>
      </c>
      <c r="G299" s="931" t="s">
        <v>361</v>
      </c>
      <c r="H299" s="931" t="s">
        <v>361</v>
      </c>
      <c r="I299" s="931" t="s">
        <v>361</v>
      </c>
      <c r="J299" s="931" t="s">
        <v>111</v>
      </c>
    </row>
    <row r="300" spans="2:10">
      <c r="B300" s="1227"/>
      <c r="C300" s="995"/>
      <c r="D300" s="997"/>
      <c r="E300" s="1226"/>
      <c r="F300" s="1226"/>
      <c r="G300" s="1226"/>
      <c r="H300" s="1226"/>
      <c r="I300" s="1226"/>
      <c r="J300" s="1234"/>
    </row>
    <row r="301" spans="2:10" ht="50">
      <c r="B301" s="1235" t="s">
        <v>1111</v>
      </c>
      <c r="C301" s="1028"/>
      <c r="D301" s="1029"/>
      <c r="E301" s="1236">
        <f>F301+G301+H301</f>
        <v>340128</v>
      </c>
      <c r="F301" s="1236">
        <v>319720</v>
      </c>
      <c r="G301" s="1236">
        <v>0</v>
      </c>
      <c r="H301" s="1236">
        <v>20408</v>
      </c>
      <c r="I301" s="1236">
        <v>0</v>
      </c>
      <c r="J301" s="1234" t="s">
        <v>1316</v>
      </c>
    </row>
    <row r="302" spans="2:10">
      <c r="B302" s="1227"/>
      <c r="C302" s="995"/>
      <c r="D302" s="997"/>
      <c r="E302" s="1226"/>
      <c r="F302" s="1226"/>
      <c r="G302" s="1226"/>
      <c r="H302" s="1226"/>
      <c r="I302" s="1226"/>
      <c r="J302" s="1234"/>
    </row>
    <row r="303" spans="2:10">
      <c r="B303" s="1227"/>
      <c r="C303" s="995"/>
      <c r="D303" s="997"/>
      <c r="E303" s="1226"/>
      <c r="F303" s="1226"/>
      <c r="G303" s="1226"/>
      <c r="H303" s="1226"/>
      <c r="I303" s="1226"/>
      <c r="J303" s="1234"/>
    </row>
    <row r="304" spans="2:10">
      <c r="B304" s="1227"/>
      <c r="C304" s="995"/>
      <c r="D304" s="997"/>
      <c r="E304" s="1226"/>
      <c r="F304" s="1226"/>
      <c r="G304" s="1226"/>
      <c r="H304" s="1226"/>
      <c r="I304" s="1226"/>
      <c r="J304" s="1234"/>
    </row>
    <row r="305" spans="1:10">
      <c r="B305" s="1227"/>
      <c r="C305" s="995"/>
      <c r="D305" s="997"/>
      <c r="E305" s="1226"/>
      <c r="F305" s="1226"/>
      <c r="G305" s="1226"/>
      <c r="H305" s="1226"/>
      <c r="I305" s="1226"/>
      <c r="J305" s="1234"/>
    </row>
    <row r="306" spans="1:10">
      <c r="B306" s="1227"/>
      <c r="C306" s="995"/>
      <c r="D306" s="997"/>
      <c r="E306" s="1226"/>
      <c r="F306" s="1226"/>
      <c r="G306" s="1226"/>
      <c r="H306" s="1226"/>
      <c r="I306" s="1226"/>
      <c r="J306" s="1234"/>
    </row>
    <row r="307" spans="1:10" ht="13">
      <c r="B307" s="816" t="s">
        <v>1459</v>
      </c>
      <c r="C307" s="1030"/>
      <c r="D307" s="982"/>
      <c r="E307" s="1224">
        <f>SUM(E300:E306)</f>
        <v>340128</v>
      </c>
      <c r="F307" s="1224">
        <f>SUM(F300:F306)</f>
        <v>319720</v>
      </c>
      <c r="G307" s="1224">
        <f>SUM(G300:G306)</f>
        <v>0</v>
      </c>
      <c r="H307" s="1224">
        <f>SUM(H300:H306)</f>
        <v>20408</v>
      </c>
      <c r="I307" s="1224">
        <f>SUM(I300:I306)</f>
        <v>0</v>
      </c>
      <c r="J307" s="983"/>
    </row>
    <row r="308" spans="1:10" ht="13">
      <c r="B308" s="1005"/>
      <c r="C308" s="1006"/>
      <c r="D308" s="1006"/>
      <c r="E308" s="989"/>
      <c r="F308" s="1224"/>
      <c r="G308" s="1224"/>
      <c r="H308" s="1224"/>
      <c r="I308" s="1224"/>
      <c r="J308" s="991"/>
    </row>
    <row r="309" spans="1:10" ht="13">
      <c r="B309" s="1007" t="s">
        <v>266</v>
      </c>
      <c r="C309" s="1008"/>
      <c r="D309" s="988"/>
      <c r="E309" s="989"/>
      <c r="F309" s="989"/>
      <c r="G309" s="989"/>
      <c r="H309" s="989"/>
      <c r="I309" s="990">
        <f>'ATT H-2A'!$H$20</f>
        <v>0.13143233299925774</v>
      </c>
      <c r="J309" s="991"/>
    </row>
    <row r="310" spans="1:10" ht="13">
      <c r="B310" s="986" t="s">
        <v>279</v>
      </c>
      <c r="C310" s="987"/>
      <c r="D310" s="988"/>
      <c r="E310" s="989"/>
      <c r="F310" s="989"/>
      <c r="G310" s="989"/>
      <c r="H310" s="990">
        <f>'ATT H-2A'!$H$39</f>
        <v>0.27803363792827679</v>
      </c>
      <c r="I310" s="989"/>
      <c r="J310" s="991"/>
    </row>
    <row r="311" spans="1:10" ht="13">
      <c r="B311" s="986" t="s">
        <v>908</v>
      </c>
      <c r="C311" s="987"/>
      <c r="D311" s="988"/>
      <c r="E311" s="989"/>
      <c r="F311" s="989"/>
      <c r="G311" s="990">
        <v>1</v>
      </c>
      <c r="H311" s="989"/>
      <c r="I311" s="989"/>
      <c r="J311" s="991"/>
    </row>
    <row r="312" spans="1:10" ht="13">
      <c r="B312" s="986" t="s">
        <v>909</v>
      </c>
      <c r="C312" s="987"/>
      <c r="D312" s="988"/>
      <c r="E312" s="989"/>
      <c r="F312" s="990">
        <v>0</v>
      </c>
      <c r="G312" s="989"/>
      <c r="H312" s="989"/>
      <c r="I312" s="989"/>
      <c r="J312" s="991"/>
    </row>
    <row r="313" spans="1:10" ht="13">
      <c r="B313" s="992" t="s">
        <v>1112</v>
      </c>
      <c r="C313" s="987"/>
      <c r="D313" s="988"/>
      <c r="E313" s="989">
        <f>F313+G313+H313+I313</f>
        <v>5674.1104828402731</v>
      </c>
      <c r="F313" s="989">
        <f>F312*F307</f>
        <v>0</v>
      </c>
      <c r="G313" s="989">
        <f>G307*G311</f>
        <v>0</v>
      </c>
      <c r="H313" s="989">
        <f>H307*H310</f>
        <v>5674.1104828402731</v>
      </c>
      <c r="I313" s="989">
        <f>I309*I307</f>
        <v>0</v>
      </c>
      <c r="J313" s="991"/>
    </row>
    <row r="314" spans="1:10">
      <c r="G314" s="966"/>
    </row>
    <row r="316" spans="1:10" s="1241" customFormat="1" ht="15.5">
      <c r="A316" s="1237" t="s">
        <v>840</v>
      </c>
      <c r="B316" s="1238"/>
      <c r="C316" s="1238"/>
      <c r="D316" s="1239"/>
      <c r="E316" s="1239"/>
      <c r="F316" s="1240"/>
      <c r="G316" s="1239"/>
      <c r="H316" s="1239"/>
      <c r="I316" s="1239"/>
      <c r="J316" s="1239"/>
    </row>
  </sheetData>
  <mergeCells count="12">
    <mergeCell ref="B267:I268"/>
    <mergeCell ref="A1:K1"/>
    <mergeCell ref="A2:K2"/>
    <mergeCell ref="A3:K3"/>
    <mergeCell ref="B6:J6"/>
    <mergeCell ref="B24:I26"/>
    <mergeCell ref="B29:I30"/>
    <mergeCell ref="B109:I109"/>
    <mergeCell ref="B113:I114"/>
    <mergeCell ref="B177:I177"/>
    <mergeCell ref="B181:I182"/>
    <mergeCell ref="B263:I263"/>
  </mergeCells>
  <pageMargins left="0.25" right="0.25" top="0.75" bottom="0.75" header="0.3" footer="0.3"/>
  <pageSetup scale="42" fitToHeight="0" orientation="landscape" r:id="rId1"/>
  <rowBreaks count="5" manualBreakCount="5">
    <brk id="31" max="16383" man="1"/>
    <brk id="72" max="16383" man="1"/>
    <brk id="117" max="16383" man="1"/>
    <brk id="185" max="16383" man="1"/>
    <brk id="27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D3940-0086-4561-857B-5EFF66B985EF}">
  <dimension ref="A1:R317"/>
  <sheetViews>
    <sheetView topLeftCell="A286" zoomScale="80" zoomScaleNormal="80" workbookViewId="0">
      <selection activeCell="I163" sqref="I163"/>
    </sheetView>
  </sheetViews>
  <sheetFormatPr defaultColWidth="9.1796875" defaultRowHeight="12.5"/>
  <cols>
    <col min="1" max="1" width="5.7265625" style="952" customWidth="1"/>
    <col min="2" max="2" width="11.453125" style="954" customWidth="1"/>
    <col min="3" max="3" width="75.1796875" style="952" customWidth="1"/>
    <col min="4" max="4" width="0.54296875" style="952" customWidth="1"/>
    <col min="5" max="5" width="29.1796875" style="952" customWidth="1"/>
    <col min="6" max="6" width="26.453125" style="952" customWidth="1"/>
    <col min="7" max="7" width="18.81640625" style="952" customWidth="1"/>
    <col min="8" max="8" width="27.81640625" style="952" customWidth="1"/>
    <col min="9" max="9" width="28.81640625" style="952" customWidth="1"/>
    <col min="10" max="10" width="85.7265625" style="952" customWidth="1"/>
    <col min="11" max="11" width="5.7265625" style="952" customWidth="1"/>
    <col min="12" max="16384" width="9.1796875" style="952"/>
  </cols>
  <sheetData>
    <row r="1" spans="1:18" ht="15.5">
      <c r="A1" s="1527" t="s">
        <v>686</v>
      </c>
      <c r="B1" s="1527"/>
      <c r="C1" s="1527"/>
      <c r="D1" s="1527"/>
      <c r="E1" s="1527"/>
      <c r="F1" s="1527"/>
      <c r="G1" s="1527"/>
      <c r="H1" s="1527"/>
      <c r="I1" s="1527"/>
      <c r="J1" s="1527"/>
      <c r="K1" s="1527"/>
    </row>
    <row r="2" spans="1:18" ht="15.5">
      <c r="A2" s="1528" t="s">
        <v>897</v>
      </c>
      <c r="B2" s="1528"/>
      <c r="C2" s="1528"/>
      <c r="D2" s="1528"/>
      <c r="E2" s="1528"/>
      <c r="F2" s="1528"/>
      <c r="G2" s="1528"/>
      <c r="H2" s="1528"/>
      <c r="I2" s="1528"/>
      <c r="J2" s="1528"/>
      <c r="K2" s="1528"/>
    </row>
    <row r="3" spans="1:18" ht="15.5">
      <c r="A3" s="1527" t="s">
        <v>1113</v>
      </c>
      <c r="B3" s="1527"/>
      <c r="C3" s="1527"/>
      <c r="D3" s="1527"/>
      <c r="E3" s="1527"/>
      <c r="F3" s="1527"/>
      <c r="G3" s="1527"/>
      <c r="H3" s="1527"/>
      <c r="I3" s="1527"/>
      <c r="J3" s="1527"/>
      <c r="K3" s="1527"/>
    </row>
    <row r="4" spans="1:18" ht="13">
      <c r="B4" s="953"/>
    </row>
    <row r="5" spans="1:18" ht="13">
      <c r="I5" s="955"/>
    </row>
    <row r="6" spans="1:18" ht="13">
      <c r="B6" s="1529" t="s">
        <v>1560</v>
      </c>
      <c r="C6" s="1529"/>
      <c r="D6" s="1529"/>
      <c r="E6" s="1529"/>
      <c r="F6" s="1529"/>
      <c r="G6" s="1529"/>
      <c r="H6" s="1529"/>
      <c r="I6" s="1529"/>
      <c r="J6" s="1529"/>
    </row>
    <row r="7" spans="1:18" ht="13">
      <c r="F7" s="931" t="s">
        <v>972</v>
      </c>
      <c r="G7" s="956" t="s">
        <v>363</v>
      </c>
      <c r="H7" s="956"/>
    </row>
    <row r="8" spans="1:18" ht="13">
      <c r="F8" s="931" t="s">
        <v>1075</v>
      </c>
      <c r="G8" s="956" t="s">
        <v>348</v>
      </c>
      <c r="H8" s="956" t="s">
        <v>360</v>
      </c>
      <c r="I8" s="956" t="s">
        <v>362</v>
      </c>
    </row>
    <row r="9" spans="1:18" ht="13">
      <c r="B9" s="957" t="s">
        <v>841</v>
      </c>
      <c r="C9" s="957" t="s">
        <v>1076</v>
      </c>
      <c r="E9" s="958" t="s">
        <v>292</v>
      </c>
      <c r="F9" s="958" t="s">
        <v>973</v>
      </c>
      <c r="G9" s="959" t="s">
        <v>361</v>
      </c>
      <c r="H9" s="959" t="s">
        <v>361</v>
      </c>
      <c r="I9" s="959" t="s">
        <v>361</v>
      </c>
    </row>
    <row r="10" spans="1:18" ht="5.15" customHeight="1"/>
    <row r="11" spans="1:18">
      <c r="B11" s="954">
        <v>1</v>
      </c>
      <c r="C11" s="960" t="s">
        <v>349</v>
      </c>
      <c r="E11" s="961">
        <f>F11+G11+H11+I11</f>
        <v>117795.76252615452</v>
      </c>
      <c r="F11" s="961">
        <f>F65</f>
        <v>0</v>
      </c>
      <c r="G11" s="961">
        <f>G65</f>
        <v>0</v>
      </c>
      <c r="H11" s="961">
        <f>H65</f>
        <v>9336964.2972776257</v>
      </c>
      <c r="I11" s="961">
        <f>I65</f>
        <v>-9219168.5347514711</v>
      </c>
    </row>
    <row r="12" spans="1:18">
      <c r="B12" s="954">
        <f>B11+1</f>
        <v>2</v>
      </c>
      <c r="C12" s="960" t="s">
        <v>899</v>
      </c>
      <c r="E12" s="961">
        <f>F12+G12+H12+I12</f>
        <v>0</v>
      </c>
      <c r="F12" s="961">
        <v>0</v>
      </c>
      <c r="G12" s="961">
        <v>0</v>
      </c>
      <c r="H12" s="961">
        <v>0</v>
      </c>
      <c r="I12" s="961">
        <v>0</v>
      </c>
      <c r="O12" s="962"/>
      <c r="P12" s="962"/>
      <c r="Q12" s="962"/>
      <c r="R12" s="962"/>
    </row>
    <row r="13" spans="1:18">
      <c r="B13" s="954">
        <f>B12+1</f>
        <v>3</v>
      </c>
      <c r="C13" s="960" t="s">
        <v>900</v>
      </c>
      <c r="E13" s="961">
        <f>F13+G13+H13+I13</f>
        <v>-154046745.67674443</v>
      </c>
      <c r="F13" s="961">
        <f>F137</f>
        <v>0</v>
      </c>
      <c r="G13" s="961">
        <f>G137</f>
        <v>0</v>
      </c>
      <c r="H13" s="961">
        <f>H137</f>
        <v>-154046745.67674443</v>
      </c>
      <c r="I13" s="961">
        <f>I137</f>
        <v>0</v>
      </c>
      <c r="O13" s="962"/>
      <c r="P13" s="962"/>
      <c r="Q13" s="962"/>
      <c r="R13" s="962"/>
    </row>
    <row r="14" spans="1:18">
      <c r="B14" s="954">
        <f>B13+1</f>
        <v>4</v>
      </c>
      <c r="C14" s="960" t="s">
        <v>350</v>
      </c>
      <c r="E14" s="961">
        <f>F14+G14+H14+I14</f>
        <v>-4561720.8665741263</v>
      </c>
      <c r="F14" s="961">
        <f>F224</f>
        <v>0</v>
      </c>
      <c r="G14" s="961">
        <f>G224</f>
        <v>0</v>
      </c>
      <c r="H14" s="961">
        <f>H224</f>
        <v>-4561720.8665741263</v>
      </c>
      <c r="I14" s="961">
        <f>I224</f>
        <v>0</v>
      </c>
      <c r="O14" s="962"/>
      <c r="P14" s="962"/>
      <c r="Q14" s="962"/>
      <c r="R14" s="962"/>
    </row>
    <row r="15" spans="1:18">
      <c r="B15" s="954">
        <f>B14+1</f>
        <v>5</v>
      </c>
      <c r="C15" s="960" t="s">
        <v>554</v>
      </c>
      <c r="E15" s="961">
        <f>F15+G15+H15+I15</f>
        <v>0</v>
      </c>
      <c r="F15" s="961">
        <f>F294</f>
        <v>0</v>
      </c>
      <c r="G15" s="961">
        <f>G294</f>
        <v>0</v>
      </c>
      <c r="H15" s="961">
        <f>H294</f>
        <v>0</v>
      </c>
      <c r="I15" s="961">
        <f>I294</f>
        <v>0</v>
      </c>
      <c r="O15" s="962"/>
      <c r="P15" s="962"/>
      <c r="Q15" s="962"/>
      <c r="R15" s="962"/>
    </row>
    <row r="16" spans="1:18" ht="5.15" customHeight="1">
      <c r="E16" s="963"/>
      <c r="F16" s="963"/>
      <c r="G16" s="963"/>
      <c r="H16" s="963"/>
      <c r="I16" s="963"/>
    </row>
    <row r="17" spans="2:10" ht="13">
      <c r="B17" s="954">
        <f>B16+6</f>
        <v>6</v>
      </c>
      <c r="C17" s="964" t="s">
        <v>901</v>
      </c>
      <c r="E17" s="961">
        <f>E11+E12+E13+E14+E15</f>
        <v>-158490670.78079242</v>
      </c>
      <c r="F17" s="961">
        <f>F11+F12+F13+F14+F15</f>
        <v>0</v>
      </c>
      <c r="G17" s="961">
        <f>G11+G12+G13+G14+G15</f>
        <v>0</v>
      </c>
      <c r="H17" s="961">
        <f>H11+H12+H13+H14+H15</f>
        <v>-149271502.24604094</v>
      </c>
      <c r="I17" s="961">
        <f>I11+I12+I13+I14+I15</f>
        <v>-9219168.5347514711</v>
      </c>
      <c r="J17" s="965"/>
    </row>
    <row r="18" spans="2:10">
      <c r="C18" s="954"/>
      <c r="F18" s="962"/>
      <c r="G18" s="962"/>
      <c r="H18" s="962"/>
      <c r="I18" s="966"/>
    </row>
    <row r="19" spans="2:10">
      <c r="C19" s="954"/>
      <c r="F19" s="962"/>
      <c r="G19" s="962"/>
      <c r="H19" s="962"/>
      <c r="I19" s="966"/>
    </row>
    <row r="20" spans="2:10" ht="13">
      <c r="B20" s="967" t="s">
        <v>841</v>
      </c>
      <c r="C20" s="967" t="s">
        <v>902</v>
      </c>
      <c r="D20" s="968"/>
      <c r="E20" s="958" t="s">
        <v>292</v>
      </c>
      <c r="F20" s="968"/>
      <c r="G20" s="968"/>
      <c r="H20" s="968"/>
      <c r="I20" s="969"/>
    </row>
    <row r="21" spans="2:10">
      <c r="B21" s="968"/>
      <c r="C21" s="968"/>
      <c r="D21" s="968"/>
      <c r="E21" s="968"/>
      <c r="F21" s="968"/>
      <c r="G21" s="968"/>
      <c r="H21" s="968"/>
      <c r="I21" s="969"/>
    </row>
    <row r="22" spans="2:10">
      <c r="B22" s="970">
        <f>B17+1</f>
        <v>7</v>
      </c>
      <c r="C22" s="952" t="s">
        <v>903</v>
      </c>
      <c r="E22" s="971">
        <v>-2365926.9756502495</v>
      </c>
      <c r="F22" s="962"/>
      <c r="I22" s="972"/>
    </row>
    <row r="23" spans="2:10">
      <c r="B23" s="952"/>
    </row>
    <row r="24" spans="2:10" ht="12.75" customHeight="1">
      <c r="B24" s="1530" t="s">
        <v>1469</v>
      </c>
      <c r="C24" s="1530"/>
      <c r="D24" s="1530"/>
      <c r="E24" s="1530"/>
      <c r="F24" s="1530"/>
      <c r="G24" s="1530"/>
      <c r="H24" s="1530"/>
      <c r="I24" s="1530"/>
    </row>
    <row r="25" spans="2:10">
      <c r="B25" s="1530"/>
      <c r="C25" s="1530"/>
      <c r="D25" s="1530"/>
      <c r="E25" s="1530"/>
      <c r="F25" s="1530"/>
      <c r="G25" s="1530"/>
      <c r="H25" s="1530"/>
      <c r="I25" s="1530"/>
    </row>
    <row r="26" spans="2:10">
      <c r="B26" s="1530"/>
      <c r="C26" s="1530"/>
      <c r="D26" s="1530"/>
      <c r="E26" s="1530"/>
      <c r="F26" s="1530"/>
      <c r="G26" s="1530"/>
      <c r="H26" s="1530"/>
      <c r="I26" s="1530"/>
    </row>
    <row r="29" spans="2:10" ht="15" customHeight="1">
      <c r="B29" s="1530" t="s">
        <v>963</v>
      </c>
      <c r="C29" s="1530"/>
      <c r="D29" s="1530"/>
      <c r="E29" s="1530"/>
      <c r="F29" s="1530"/>
      <c r="G29" s="1530"/>
      <c r="H29" s="1530"/>
      <c r="I29" s="1530"/>
      <c r="J29" s="973"/>
    </row>
    <row r="30" spans="2:10">
      <c r="B30" s="1530"/>
      <c r="C30" s="1530"/>
      <c r="D30" s="1530"/>
      <c r="E30" s="1530"/>
      <c r="F30" s="1530"/>
      <c r="G30" s="1530"/>
      <c r="H30" s="1530"/>
      <c r="I30" s="1530"/>
      <c r="J30" s="973"/>
    </row>
    <row r="31" spans="2:10" ht="13">
      <c r="I31" s="955"/>
    </row>
    <row r="32" spans="2:10" ht="13">
      <c r="B32" s="931" t="s">
        <v>799</v>
      </c>
      <c r="C32" s="931"/>
      <c r="D32" s="931"/>
      <c r="E32" s="931" t="s">
        <v>800</v>
      </c>
      <c r="F32" s="931" t="s">
        <v>801</v>
      </c>
      <c r="G32" s="931" t="s">
        <v>802</v>
      </c>
      <c r="H32" s="931" t="s">
        <v>962</v>
      </c>
      <c r="I32" s="931" t="s">
        <v>804</v>
      </c>
      <c r="J32" s="931" t="s">
        <v>805</v>
      </c>
    </row>
    <row r="33" spans="2:10" ht="13">
      <c r="B33" s="964"/>
      <c r="C33" s="968"/>
      <c r="D33" s="968"/>
      <c r="E33" s="931"/>
      <c r="F33" s="931" t="s">
        <v>972</v>
      </c>
      <c r="G33" s="931" t="s">
        <v>363</v>
      </c>
      <c r="H33" s="931"/>
      <c r="I33" s="931"/>
      <c r="J33" s="968"/>
    </row>
    <row r="34" spans="2:10" ht="13">
      <c r="B34" s="974"/>
      <c r="C34" s="968"/>
      <c r="D34" s="968"/>
      <c r="E34" s="931"/>
      <c r="F34" s="931" t="s">
        <v>1075</v>
      </c>
      <c r="G34" s="931" t="s">
        <v>348</v>
      </c>
      <c r="H34" s="931" t="s">
        <v>360</v>
      </c>
      <c r="I34" s="931" t="s">
        <v>362</v>
      </c>
      <c r="J34" s="968"/>
    </row>
    <row r="35" spans="2:10" ht="13">
      <c r="B35" s="964" t="s">
        <v>1077</v>
      </c>
      <c r="C35" s="968"/>
      <c r="D35" s="968"/>
      <c r="E35" s="931" t="s">
        <v>292</v>
      </c>
      <c r="F35" s="958" t="s">
        <v>973</v>
      </c>
      <c r="G35" s="931" t="s">
        <v>361</v>
      </c>
      <c r="H35" s="931" t="s">
        <v>361</v>
      </c>
      <c r="I35" s="931" t="s">
        <v>361</v>
      </c>
      <c r="J35" s="931" t="s">
        <v>111</v>
      </c>
    </row>
    <row r="36" spans="2:10" ht="37.5">
      <c r="B36" s="1229" t="s">
        <v>1501</v>
      </c>
      <c r="C36" s="1447"/>
      <c r="D36" s="1447"/>
      <c r="E36" s="1448">
        <f t="shared" ref="E36" si="0">SUM(F36:I36)</f>
        <v>-62671385</v>
      </c>
      <c r="F36" s="1458">
        <v>-2100562.2553222105</v>
      </c>
      <c r="G36" s="1458">
        <v>0</v>
      </c>
      <c r="H36" s="1458">
        <v>0</v>
      </c>
      <c r="I36" s="1458">
        <v>-60570822.74467779</v>
      </c>
      <c r="J36" s="1449" t="s">
        <v>1502</v>
      </c>
    </row>
    <row r="37" spans="2:10">
      <c r="B37" s="1229" t="s">
        <v>1503</v>
      </c>
      <c r="C37" s="1447"/>
      <c r="D37" s="1447"/>
      <c r="E37" s="1448">
        <f t="shared" ref="E37:E43" si="1">SUM(F37:I37)</f>
        <v>11533825.160578502</v>
      </c>
      <c r="F37" s="1458">
        <v>11533825.160578502</v>
      </c>
      <c r="G37" s="1458">
        <v>0</v>
      </c>
      <c r="H37" s="1458">
        <v>0</v>
      </c>
      <c r="I37" s="1458">
        <v>0</v>
      </c>
      <c r="J37" s="1449" t="s">
        <v>1291</v>
      </c>
    </row>
    <row r="38" spans="2:10">
      <c r="B38" s="1229" t="s">
        <v>1561</v>
      </c>
      <c r="C38" s="1447"/>
      <c r="D38" s="1450"/>
      <c r="E38" s="1448">
        <f t="shared" si="1"/>
        <v>9742260</v>
      </c>
      <c r="F38" s="1458">
        <v>9742260</v>
      </c>
      <c r="G38" s="1458">
        <v>0</v>
      </c>
      <c r="H38" s="1458">
        <v>0</v>
      </c>
      <c r="I38" s="1458">
        <v>0</v>
      </c>
      <c r="J38" s="1449" t="s">
        <v>1291</v>
      </c>
    </row>
    <row r="39" spans="2:10">
      <c r="B39" s="1229" t="s">
        <v>1293</v>
      </c>
      <c r="C39" s="1447"/>
      <c r="D39" s="1450"/>
      <c r="E39" s="1448">
        <f t="shared" si="1"/>
        <v>653815.52482499997</v>
      </c>
      <c r="F39" s="1458">
        <v>501003.41759999993</v>
      </c>
      <c r="G39" s="1458">
        <v>0</v>
      </c>
      <c r="H39" s="1458">
        <v>152812.10722500001</v>
      </c>
      <c r="I39" s="1458">
        <v>0</v>
      </c>
      <c r="J39" s="1449" t="s">
        <v>1294</v>
      </c>
    </row>
    <row r="40" spans="2:10">
      <c r="B40" s="1229" t="s">
        <v>1505</v>
      </c>
      <c r="C40" s="1447"/>
      <c r="D40" s="1450"/>
      <c r="E40" s="1448">
        <f t="shared" si="1"/>
        <v>943296.10027353</v>
      </c>
      <c r="F40" s="1458">
        <v>943296.10027353</v>
      </c>
      <c r="G40" s="1458">
        <v>0</v>
      </c>
      <c r="H40" s="1458">
        <v>0</v>
      </c>
      <c r="I40" s="1458">
        <v>0</v>
      </c>
      <c r="J40" s="1449" t="s">
        <v>1296</v>
      </c>
    </row>
    <row r="41" spans="2:10">
      <c r="B41" s="1229" t="s">
        <v>1506</v>
      </c>
      <c r="C41" s="1447"/>
      <c r="D41" s="1450"/>
      <c r="E41" s="1448">
        <f t="shared" si="1"/>
        <v>1794680.5163602498</v>
      </c>
      <c r="F41" s="1458">
        <v>1794680.5163602498</v>
      </c>
      <c r="G41" s="1458">
        <v>0</v>
      </c>
      <c r="H41" s="1458">
        <v>0</v>
      </c>
      <c r="I41" s="1458">
        <v>0</v>
      </c>
      <c r="J41" s="1449" t="s">
        <v>1296</v>
      </c>
    </row>
    <row r="42" spans="2:10">
      <c r="B42" s="1229" t="s">
        <v>1507</v>
      </c>
      <c r="C42" s="1447"/>
      <c r="D42" s="1450"/>
      <c r="E42" s="1448">
        <f t="shared" si="1"/>
        <v>3780334.2684138129</v>
      </c>
      <c r="F42" s="1458">
        <v>3780334.2684138129</v>
      </c>
      <c r="G42" s="1458">
        <v>0</v>
      </c>
      <c r="H42" s="1458">
        <v>0</v>
      </c>
      <c r="I42" s="1458">
        <v>0</v>
      </c>
      <c r="J42" s="1449" t="s">
        <v>1291</v>
      </c>
    </row>
    <row r="43" spans="2:10">
      <c r="B43" s="1229" t="s">
        <v>1563</v>
      </c>
      <c r="C43" s="1447"/>
      <c r="D43" s="1450"/>
      <c r="E43" s="1448">
        <f t="shared" si="1"/>
        <v>313874.78647500003</v>
      </c>
      <c r="F43" s="1458">
        <v>313874.78647500003</v>
      </c>
      <c r="G43" s="1458">
        <v>0</v>
      </c>
      <c r="H43" s="1458">
        <v>0</v>
      </c>
      <c r="I43" s="1458">
        <v>0</v>
      </c>
      <c r="J43" s="1449" t="s">
        <v>1291</v>
      </c>
    </row>
    <row r="44" spans="2:10">
      <c r="B44" s="1229" t="s">
        <v>1297</v>
      </c>
      <c r="C44" s="1447"/>
      <c r="D44" s="1450"/>
      <c r="E44" s="1448">
        <f t="shared" ref="E44:E50" si="2">SUM(F44:I44)</f>
        <v>34462879.579538003</v>
      </c>
      <c r="F44" s="1458">
        <v>10006153.208770283</v>
      </c>
      <c r="G44" s="1458">
        <v>0</v>
      </c>
      <c r="H44" s="1458">
        <v>0</v>
      </c>
      <c r="I44" s="1458">
        <v>24456726.37076772</v>
      </c>
      <c r="J44" s="1449" t="s">
        <v>1291</v>
      </c>
    </row>
    <row r="45" spans="2:10" ht="37.5">
      <c r="B45" s="1229" t="s">
        <v>1508</v>
      </c>
      <c r="C45" s="1447"/>
      <c r="D45" s="1450"/>
      <c r="E45" s="1448">
        <f t="shared" si="2"/>
        <v>85534592.88390851</v>
      </c>
      <c r="F45" s="1458">
        <v>45091827.734894902</v>
      </c>
      <c r="G45" s="1458">
        <v>0</v>
      </c>
      <c r="H45" s="1458">
        <v>40442765.149013601</v>
      </c>
      <c r="I45" s="1458">
        <v>0</v>
      </c>
      <c r="J45" s="1449" t="s">
        <v>1509</v>
      </c>
    </row>
    <row r="46" spans="2:10">
      <c r="B46" s="1229" t="s">
        <v>1564</v>
      </c>
      <c r="C46" s="1447"/>
      <c r="D46" s="1447"/>
      <c r="E46" s="1448">
        <f t="shared" si="2"/>
        <v>995856.67395000008</v>
      </c>
      <c r="F46" s="1458">
        <v>995856.67395000008</v>
      </c>
      <c r="G46" s="1458">
        <v>0</v>
      </c>
      <c r="H46" s="1458">
        <v>0</v>
      </c>
      <c r="I46" s="1458">
        <v>0</v>
      </c>
      <c r="J46" s="1449" t="s">
        <v>1291</v>
      </c>
    </row>
    <row r="47" spans="2:10">
      <c r="B47" s="1229" t="s">
        <v>1565</v>
      </c>
      <c r="C47" s="1447"/>
      <c r="D47" s="1447"/>
      <c r="E47" s="1448">
        <f t="shared" si="2"/>
        <v>12881.729303361493</v>
      </c>
      <c r="F47" s="1458">
        <v>12881.729303361493</v>
      </c>
      <c r="G47" s="1458">
        <v>0</v>
      </c>
      <c r="H47" s="1458">
        <v>0</v>
      </c>
      <c r="I47" s="1458">
        <v>0</v>
      </c>
      <c r="J47" s="1449" t="s">
        <v>1291</v>
      </c>
    </row>
    <row r="48" spans="2:10">
      <c r="B48" s="1229" t="s">
        <v>1510</v>
      </c>
      <c r="C48" s="1447"/>
      <c r="D48" s="1447"/>
      <c r="E48" s="1448">
        <f t="shared" si="2"/>
        <v>103496.89506242247</v>
      </c>
      <c r="F48" s="1458">
        <v>103496.89506242247</v>
      </c>
      <c r="G48" s="1458">
        <v>0</v>
      </c>
      <c r="H48" s="1458">
        <v>0</v>
      </c>
      <c r="I48" s="1458">
        <v>0</v>
      </c>
      <c r="J48" s="1449" t="s">
        <v>1291</v>
      </c>
    </row>
    <row r="49" spans="2:10">
      <c r="B49" s="1229" t="s">
        <v>1511</v>
      </c>
      <c r="C49" s="1447"/>
      <c r="D49" s="1447"/>
      <c r="E49" s="1448">
        <f t="shared" si="2"/>
        <v>2218598.348497008</v>
      </c>
      <c r="F49" s="1458">
        <v>2218598.348497008</v>
      </c>
      <c r="G49" s="1458">
        <v>0</v>
      </c>
      <c r="H49" s="1458">
        <v>0</v>
      </c>
      <c r="I49" s="1458">
        <v>0</v>
      </c>
      <c r="J49" s="1449" t="s">
        <v>1291</v>
      </c>
    </row>
    <row r="50" spans="2:10" ht="37.5">
      <c r="B50" s="1229" t="s">
        <v>1514</v>
      </c>
      <c r="C50" s="1447"/>
      <c r="D50" s="1451"/>
      <c r="E50" s="1452">
        <f t="shared" si="2"/>
        <v>223645697.31290197</v>
      </c>
      <c r="F50" s="1458">
        <v>61779159.668544278</v>
      </c>
      <c r="G50" s="1458">
        <v>0</v>
      </c>
      <c r="H50" s="1458">
        <v>161866537.64435768</v>
      </c>
      <c r="I50" s="1458">
        <v>0</v>
      </c>
      <c r="J50" s="1454" t="s">
        <v>1305</v>
      </c>
    </row>
    <row r="51" spans="2:10">
      <c r="B51" s="975"/>
      <c r="C51" s="976"/>
      <c r="D51" s="979"/>
      <c r="E51" s="977"/>
      <c r="F51" s="977"/>
      <c r="G51" s="977"/>
      <c r="H51" s="977"/>
      <c r="I51" s="977"/>
      <c r="J51" s="978"/>
    </row>
    <row r="52" spans="2:10" ht="13">
      <c r="B52" s="817" t="s">
        <v>1078</v>
      </c>
      <c r="C52" s="981"/>
      <c r="D52" s="982"/>
      <c r="E52" s="1224">
        <f>SUM(E36:E51)</f>
        <v>313064704.78008735</v>
      </c>
      <c r="F52" s="1224">
        <f>SUM(F36:F51)</f>
        <v>146716686.25340113</v>
      </c>
      <c r="G52" s="1224">
        <f>SUM(G36:G51)</f>
        <v>0</v>
      </c>
      <c r="H52" s="1224">
        <f>SUM(H36:H51)</f>
        <v>202462114.90059629</v>
      </c>
      <c r="I52" s="1224">
        <f>SUM(I36:I51)</f>
        <v>-36114096.373910069</v>
      </c>
      <c r="J52" s="983"/>
    </row>
    <row r="53" spans="2:10" ht="13">
      <c r="B53" s="816"/>
      <c r="C53" s="982"/>
      <c r="D53" s="982"/>
      <c r="E53" s="1224"/>
      <c r="F53" s="1224"/>
      <c r="G53" s="1224"/>
      <c r="H53" s="1224"/>
      <c r="I53" s="1224"/>
      <c r="J53" s="983"/>
    </row>
    <row r="54" spans="2:10">
      <c r="B54" s="984" t="s">
        <v>904</v>
      </c>
      <c r="C54" s="985"/>
      <c r="D54" s="985"/>
      <c r="E54" s="1225">
        <f>SUM(F54:I54)</f>
        <v>0</v>
      </c>
      <c r="F54" s="1226">
        <v>0</v>
      </c>
      <c r="G54" s="1226">
        <v>0</v>
      </c>
      <c r="H54" s="1226">
        <v>0</v>
      </c>
      <c r="I54" s="1226">
        <v>0</v>
      </c>
      <c r="J54" s="818"/>
    </row>
    <row r="55" spans="2:10">
      <c r="B55" s="984" t="s">
        <v>905</v>
      </c>
      <c r="C55" s="985"/>
      <c r="D55" s="985"/>
      <c r="E55" s="1225">
        <f>SUM(F55:I55)</f>
        <v>-653815.52482499997</v>
      </c>
      <c r="F55" s="1226">
        <f>-F39</f>
        <v>-501003.41759999993</v>
      </c>
      <c r="G55" s="1226">
        <v>0</v>
      </c>
      <c r="H55" s="1226">
        <f>-H39</f>
        <v>-152812.10722500001</v>
      </c>
      <c r="I55" s="1226">
        <v>0</v>
      </c>
      <c r="J55" s="818"/>
    </row>
    <row r="56" spans="2:10">
      <c r="B56" s="984" t="s">
        <v>906</v>
      </c>
      <c r="C56" s="985"/>
      <c r="D56" s="985"/>
      <c r="E56" s="1225">
        <f>SUM(F56:I56)</f>
        <v>-223645697.31290197</v>
      </c>
      <c r="F56" s="1226">
        <f>-F50</f>
        <v>-61779159.668544278</v>
      </c>
      <c r="G56" s="1226">
        <v>0</v>
      </c>
      <c r="H56" s="1226">
        <f>-H50</f>
        <v>-161866537.64435768</v>
      </c>
      <c r="I56" s="1226">
        <v>0</v>
      </c>
      <c r="J56" s="818"/>
    </row>
    <row r="57" spans="2:10">
      <c r="B57" s="984" t="s">
        <v>907</v>
      </c>
      <c r="C57" s="985"/>
      <c r="D57" s="985"/>
      <c r="E57" s="1225">
        <f>SUM(F57:I57)</f>
        <v>-34462879.579538003</v>
      </c>
      <c r="F57" s="1226">
        <f>-F44</f>
        <v>-10006153.208770283</v>
      </c>
      <c r="G57" s="1226">
        <v>0</v>
      </c>
      <c r="H57" s="1226">
        <v>0</v>
      </c>
      <c r="I57" s="1226">
        <f>-I44</f>
        <v>-24456726.37076772</v>
      </c>
      <c r="J57" s="818"/>
    </row>
    <row r="58" spans="2:10" ht="5.15" customHeight="1">
      <c r="B58" s="817"/>
      <c r="C58" s="981"/>
      <c r="D58" s="982"/>
      <c r="E58" s="1224"/>
      <c r="F58" s="1224"/>
      <c r="G58" s="1224"/>
      <c r="H58" s="1224"/>
      <c r="I58" s="1224"/>
      <c r="J58" s="983"/>
    </row>
    <row r="59" spans="2:10" ht="13">
      <c r="B59" s="816" t="s">
        <v>1079</v>
      </c>
      <c r="C59" s="982"/>
      <c r="D59" s="982"/>
      <c r="E59" s="1224">
        <f>SUM(E54:E58)+E52</f>
        <v>54302312.362822354</v>
      </c>
      <c r="F59" s="1224">
        <f>SUM(F54:F58)+F52</f>
        <v>74430369.958486572</v>
      </c>
      <c r="G59" s="1224">
        <f>SUM(G54:G58)+G52</f>
        <v>0</v>
      </c>
      <c r="H59" s="1224">
        <f>SUM(H54:H58)+H52</f>
        <v>40442765.149013609</v>
      </c>
      <c r="I59" s="1224">
        <f>SUM(I54:I58)+I52</f>
        <v>-60570822.74467779</v>
      </c>
      <c r="J59" s="983"/>
    </row>
    <row r="60" spans="2:10" ht="13">
      <c r="B60" s="816"/>
      <c r="C60" s="982"/>
      <c r="D60" s="982"/>
      <c r="E60" s="1224"/>
      <c r="F60" s="1224"/>
      <c r="G60" s="1224"/>
      <c r="H60" s="1224"/>
      <c r="I60" s="1224"/>
      <c r="J60" s="983"/>
    </row>
    <row r="61" spans="2:10" ht="13">
      <c r="B61" s="986" t="s">
        <v>266</v>
      </c>
      <c r="C61" s="987"/>
      <c r="D61" s="988"/>
      <c r="E61" s="989"/>
      <c r="F61" s="989"/>
      <c r="G61" s="989"/>
      <c r="H61" s="989"/>
      <c r="I61" s="990">
        <v>0.15220477644183125</v>
      </c>
      <c r="J61" s="991"/>
    </row>
    <row r="62" spans="2:10" ht="13">
      <c r="B62" s="986" t="s">
        <v>135</v>
      </c>
      <c r="C62" s="987"/>
      <c r="D62" s="988"/>
      <c r="E62" s="989"/>
      <c r="F62" s="989"/>
      <c r="G62" s="989"/>
      <c r="H62" s="990">
        <v>0.2308685932545676</v>
      </c>
      <c r="I62" s="989"/>
      <c r="J62" s="991"/>
    </row>
    <row r="63" spans="2:10" ht="13">
      <c r="B63" s="986" t="s">
        <v>908</v>
      </c>
      <c r="C63" s="987"/>
      <c r="D63" s="988"/>
      <c r="E63" s="989"/>
      <c r="F63" s="989"/>
      <c r="G63" s="990">
        <v>1</v>
      </c>
      <c r="H63" s="989"/>
      <c r="I63" s="989"/>
      <c r="J63" s="991"/>
    </row>
    <row r="64" spans="2:10" ht="13">
      <c r="B64" s="986" t="s">
        <v>909</v>
      </c>
      <c r="C64" s="987"/>
      <c r="D64" s="988"/>
      <c r="E64" s="989"/>
      <c r="F64" s="990">
        <v>0</v>
      </c>
      <c r="G64" s="989"/>
      <c r="H64" s="989"/>
      <c r="I64" s="989"/>
      <c r="J64" s="991"/>
    </row>
    <row r="65" spans="2:10" ht="13">
      <c r="B65" s="992" t="s">
        <v>910</v>
      </c>
      <c r="C65" s="987"/>
      <c r="D65" s="988"/>
      <c r="E65" s="989">
        <f>F65+G65+H65+I65</f>
        <v>117795.76252615452</v>
      </c>
      <c r="F65" s="989">
        <f>F64*F59</f>
        <v>0</v>
      </c>
      <c r="G65" s="989">
        <f>G59*G63</f>
        <v>0</v>
      </c>
      <c r="H65" s="989">
        <f>H59*H62</f>
        <v>9336964.2972776257</v>
      </c>
      <c r="I65" s="989">
        <f>I61*I59</f>
        <v>-9219168.5347514711</v>
      </c>
      <c r="J65" s="991"/>
    </row>
    <row r="66" spans="2:10" ht="13">
      <c r="B66" s="993"/>
      <c r="E66" s="962"/>
      <c r="F66" s="962"/>
      <c r="G66" s="962"/>
      <c r="H66" s="962"/>
      <c r="I66" s="962"/>
      <c r="J66" s="994"/>
    </row>
    <row r="67" spans="2:10" ht="13">
      <c r="B67" s="964"/>
      <c r="C67" s="952" t="s">
        <v>154</v>
      </c>
      <c r="E67" s="962"/>
      <c r="F67" s="962"/>
      <c r="G67" s="962"/>
      <c r="H67" s="962"/>
      <c r="I67" s="962"/>
      <c r="J67" s="994"/>
    </row>
    <row r="68" spans="2:10" ht="13">
      <c r="B68" s="931" t="s">
        <v>799</v>
      </c>
      <c r="C68" s="931"/>
      <c r="D68" s="931"/>
      <c r="E68" s="931" t="s">
        <v>800</v>
      </c>
      <c r="F68" s="931" t="s">
        <v>801</v>
      </c>
      <c r="G68" s="931" t="s">
        <v>802</v>
      </c>
      <c r="H68" s="931" t="s">
        <v>962</v>
      </c>
      <c r="I68" s="931" t="s">
        <v>804</v>
      </c>
      <c r="J68" s="931" t="s">
        <v>805</v>
      </c>
    </row>
    <row r="69" spans="2:10" ht="13">
      <c r="B69" s="964"/>
      <c r="C69" s="968"/>
      <c r="D69" s="968"/>
      <c r="E69" s="931"/>
      <c r="F69" s="931" t="s">
        <v>972</v>
      </c>
      <c r="G69" s="931" t="s">
        <v>363</v>
      </c>
      <c r="H69" s="931"/>
      <c r="I69" s="931"/>
      <c r="J69" s="968"/>
    </row>
    <row r="70" spans="2:10" ht="13">
      <c r="B70" s="974"/>
      <c r="C70" s="968"/>
      <c r="D70" s="968"/>
      <c r="E70" s="931"/>
      <c r="F70" s="931" t="s">
        <v>1075</v>
      </c>
      <c r="G70" s="931" t="s">
        <v>348</v>
      </c>
      <c r="H70" s="931" t="s">
        <v>360</v>
      </c>
      <c r="I70" s="931" t="s">
        <v>362</v>
      </c>
      <c r="J70" s="968"/>
    </row>
    <row r="71" spans="2:10" ht="13">
      <c r="B71" s="964" t="s">
        <v>1080</v>
      </c>
      <c r="C71" s="968"/>
      <c r="D71" s="968"/>
      <c r="E71" s="931" t="s">
        <v>292</v>
      </c>
      <c r="F71" s="958" t="s">
        <v>973</v>
      </c>
      <c r="G71" s="931" t="s">
        <v>361</v>
      </c>
      <c r="H71" s="931" t="s">
        <v>361</v>
      </c>
      <c r="I71" s="931" t="s">
        <v>361</v>
      </c>
      <c r="J71" s="931" t="s">
        <v>111</v>
      </c>
    </row>
    <row r="72" spans="2:10">
      <c r="B72" s="1227"/>
      <c r="C72" s="995"/>
      <c r="D72" s="996"/>
      <c r="E72" s="1226"/>
      <c r="F72" s="1226"/>
      <c r="G72" s="1226"/>
      <c r="H72" s="1226"/>
      <c r="I72" s="1226"/>
      <c r="J72" s="1228"/>
    </row>
    <row r="73" spans="2:10">
      <c r="B73" s="1227"/>
      <c r="C73" s="995"/>
      <c r="D73" s="997"/>
      <c r="E73" s="1226"/>
      <c r="F73" s="1226"/>
      <c r="G73" s="1226"/>
      <c r="H73" s="1226"/>
      <c r="I73" s="1226"/>
      <c r="J73" s="1228"/>
    </row>
    <row r="74" spans="2:10">
      <c r="B74" s="1227"/>
      <c r="C74" s="995"/>
      <c r="D74" s="997"/>
      <c r="E74" s="1226"/>
      <c r="F74" s="1226"/>
      <c r="G74" s="1226"/>
      <c r="H74" s="1226"/>
      <c r="I74" s="1226"/>
      <c r="J74" s="1228"/>
    </row>
    <row r="75" spans="2:10">
      <c r="B75" s="1227"/>
      <c r="C75" s="995"/>
      <c r="D75" s="997"/>
      <c r="E75" s="1226"/>
      <c r="F75" s="1226"/>
      <c r="G75" s="1226"/>
      <c r="H75" s="1226"/>
      <c r="I75" s="1226"/>
      <c r="J75" s="1228"/>
    </row>
    <row r="76" spans="2:10">
      <c r="B76" s="1227"/>
      <c r="C76" s="995"/>
      <c r="D76" s="997"/>
      <c r="E76" s="1226"/>
      <c r="F76" s="1226"/>
      <c r="G76" s="1226"/>
      <c r="H76" s="1226"/>
      <c r="I76" s="1226"/>
      <c r="J76" s="1228"/>
    </row>
    <row r="77" spans="2:10">
      <c r="B77" s="1227"/>
      <c r="C77" s="995"/>
      <c r="D77" s="997"/>
      <c r="E77" s="1226"/>
      <c r="F77" s="1226"/>
      <c r="G77" s="1226"/>
      <c r="H77" s="1226"/>
      <c r="I77" s="1226"/>
      <c r="J77" s="1228"/>
    </row>
    <row r="78" spans="2:10">
      <c r="B78" s="1227"/>
      <c r="C78" s="995"/>
      <c r="D78" s="996"/>
      <c r="E78" s="998"/>
      <c r="F78" s="998"/>
      <c r="G78" s="998"/>
      <c r="H78" s="998"/>
      <c r="I78" s="998"/>
      <c r="J78" s="999"/>
    </row>
    <row r="79" spans="2:10" ht="13">
      <c r="B79" s="816" t="s">
        <v>1081</v>
      </c>
      <c r="C79" s="982"/>
      <c r="D79" s="982"/>
      <c r="E79" s="1224">
        <f>SUM(E72:E78)</f>
        <v>0</v>
      </c>
      <c r="F79" s="1224">
        <f>SUM(F72:F78)</f>
        <v>0</v>
      </c>
      <c r="G79" s="1224">
        <f>SUM(G72:G78)</f>
        <v>0</v>
      </c>
      <c r="H79" s="1224">
        <f>SUM(H72:H78)</f>
        <v>0</v>
      </c>
      <c r="I79" s="1224">
        <f>SUM(I72:I78)</f>
        <v>0</v>
      </c>
      <c r="J79" s="983"/>
    </row>
    <row r="80" spans="2:10" ht="13">
      <c r="B80" s="816"/>
      <c r="C80" s="982"/>
      <c r="D80" s="982"/>
      <c r="E80" s="1224"/>
      <c r="F80" s="1224"/>
      <c r="G80" s="1224"/>
      <c r="H80" s="1224"/>
      <c r="I80" s="1224"/>
      <c r="J80" s="983"/>
    </row>
    <row r="81" spans="2:10">
      <c r="B81" s="1000" t="s">
        <v>904</v>
      </c>
      <c r="C81" s="1001"/>
      <c r="D81" s="1002"/>
      <c r="E81" s="1225"/>
      <c r="F81" s="1226"/>
      <c r="G81" s="1226"/>
      <c r="H81" s="1226"/>
      <c r="I81" s="1226"/>
      <c r="J81" s="818"/>
    </row>
    <row r="82" spans="2:10">
      <c r="B82" s="984" t="s">
        <v>905</v>
      </c>
      <c r="C82" s="985"/>
      <c r="D82" s="1002"/>
      <c r="E82" s="1225"/>
      <c r="F82" s="1226"/>
      <c r="G82" s="1226"/>
      <c r="H82" s="1226"/>
      <c r="I82" s="1226"/>
      <c r="J82" s="818"/>
    </row>
    <row r="83" spans="2:10">
      <c r="B83" s="984" t="s">
        <v>906</v>
      </c>
      <c r="C83" s="985"/>
      <c r="D83" s="1002"/>
      <c r="E83" s="1225"/>
      <c r="F83" s="1226"/>
      <c r="G83" s="1226"/>
      <c r="H83" s="1226"/>
      <c r="I83" s="1226"/>
      <c r="J83" s="818"/>
    </row>
    <row r="84" spans="2:10">
      <c r="B84" s="984" t="s">
        <v>907</v>
      </c>
      <c r="C84" s="985"/>
      <c r="D84" s="1002"/>
      <c r="E84" s="1225"/>
      <c r="F84" s="1226"/>
      <c r="G84" s="1226"/>
      <c r="H84" s="1226"/>
      <c r="I84" s="1226"/>
      <c r="J84" s="818"/>
    </row>
    <row r="85" spans="2:10" ht="5.15" customHeight="1">
      <c r="B85" s="817"/>
      <c r="C85" s="981"/>
      <c r="D85" s="982"/>
      <c r="E85" s="1224"/>
      <c r="F85" s="1224"/>
      <c r="G85" s="1224"/>
      <c r="H85" s="1224"/>
      <c r="I85" s="1224"/>
      <c r="J85" s="983"/>
    </row>
    <row r="86" spans="2:10" ht="13">
      <c r="B86" s="1003" t="s">
        <v>1082</v>
      </c>
      <c r="C86" s="1004"/>
      <c r="D86" s="982"/>
      <c r="E86" s="1224">
        <f>SUM(E81:E85)+E79</f>
        <v>0</v>
      </c>
      <c r="F86" s="1224">
        <f>SUM(F81:F85)+F79</f>
        <v>0</v>
      </c>
      <c r="G86" s="1224">
        <f>SUM(G81:G85)+G79</f>
        <v>0</v>
      </c>
      <c r="H86" s="1224">
        <f>SUM(H81:H85)+H79</f>
        <v>0</v>
      </c>
      <c r="I86" s="1224">
        <f>SUM(I81:I85)+I79</f>
        <v>0</v>
      </c>
      <c r="J86" s="983"/>
    </row>
    <row r="87" spans="2:10" ht="13">
      <c r="B87" s="1005"/>
      <c r="C87" s="1006"/>
      <c r="D87" s="1006"/>
      <c r="E87" s="989"/>
      <c r="F87" s="1224"/>
      <c r="G87" s="1224"/>
      <c r="H87" s="1224"/>
      <c r="I87" s="1224"/>
      <c r="J87" s="991"/>
    </row>
    <row r="88" spans="2:10" ht="13">
      <c r="B88" s="1007" t="s">
        <v>266</v>
      </c>
      <c r="C88" s="1008"/>
      <c r="D88" s="988"/>
      <c r="E88" s="989"/>
      <c r="F88" s="989"/>
      <c r="G88" s="989"/>
      <c r="H88" s="989"/>
      <c r="I88" s="990">
        <v>0.15220477644183125</v>
      </c>
      <c r="J88" s="991"/>
    </row>
    <row r="89" spans="2:10" ht="13">
      <c r="B89" s="986" t="s">
        <v>135</v>
      </c>
      <c r="C89" s="987"/>
      <c r="D89" s="988"/>
      <c r="E89" s="989"/>
      <c r="F89" s="989"/>
      <c r="G89" s="989"/>
      <c r="H89" s="990">
        <v>0.2308685932545676</v>
      </c>
      <c r="I89" s="989"/>
      <c r="J89" s="991"/>
    </row>
    <row r="90" spans="2:10" ht="13">
      <c r="B90" s="986" t="s">
        <v>908</v>
      </c>
      <c r="C90" s="987"/>
      <c r="D90" s="988"/>
      <c r="E90" s="989"/>
      <c r="F90" s="989"/>
      <c r="G90" s="990">
        <v>1</v>
      </c>
      <c r="H90" s="989"/>
      <c r="I90" s="989"/>
      <c r="J90" s="991"/>
    </row>
    <row r="91" spans="2:10" ht="13">
      <c r="B91" s="986" t="s">
        <v>909</v>
      </c>
      <c r="C91" s="987"/>
      <c r="D91" s="988"/>
      <c r="E91" s="989"/>
      <c r="F91" s="990">
        <v>0</v>
      </c>
      <c r="G91" s="989"/>
      <c r="H91" s="989"/>
      <c r="I91" s="989"/>
      <c r="J91" s="991"/>
    </row>
    <row r="92" spans="2:10" ht="13">
      <c r="B92" s="992" t="s">
        <v>910</v>
      </c>
      <c r="C92" s="987"/>
      <c r="D92" s="988"/>
      <c r="E92" s="989">
        <f>F92+G92+H92+I92</f>
        <v>0</v>
      </c>
      <c r="F92" s="989">
        <f>F91*F86</f>
        <v>0</v>
      </c>
      <c r="G92" s="989">
        <f>G86*G90</f>
        <v>0</v>
      </c>
      <c r="H92" s="989">
        <f>H86*H89</f>
        <v>0</v>
      </c>
      <c r="I92" s="989">
        <f>I88*I86</f>
        <v>0</v>
      </c>
      <c r="J92" s="991"/>
    </row>
    <row r="93" spans="2:10" ht="13">
      <c r="B93" s="993"/>
      <c r="E93" s="962"/>
      <c r="F93" s="962"/>
      <c r="G93" s="962"/>
      <c r="H93" s="962"/>
      <c r="I93" s="962"/>
      <c r="J93" s="994"/>
    </row>
    <row r="94" spans="2:10" ht="13">
      <c r="B94" s="993"/>
      <c r="E94" s="962"/>
      <c r="F94" s="962"/>
      <c r="G94" s="962"/>
      <c r="H94" s="962"/>
      <c r="I94" s="962"/>
      <c r="J94" s="994"/>
    </row>
    <row r="95" spans="2:10" ht="13">
      <c r="B95" s="931" t="s">
        <v>799</v>
      </c>
      <c r="C95" s="931"/>
      <c r="D95" s="931"/>
      <c r="E95" s="931" t="s">
        <v>800</v>
      </c>
      <c r="F95" s="931" t="s">
        <v>801</v>
      </c>
      <c r="G95" s="931" t="s">
        <v>802</v>
      </c>
      <c r="H95" s="931" t="s">
        <v>962</v>
      </c>
      <c r="I95" s="931" t="s">
        <v>804</v>
      </c>
      <c r="J95" s="931" t="s">
        <v>805</v>
      </c>
    </row>
    <row r="96" spans="2:10" ht="13">
      <c r="B96" s="964"/>
      <c r="C96" s="968"/>
      <c r="D96" s="968"/>
      <c r="E96" s="931"/>
      <c r="F96" s="931" t="s">
        <v>972</v>
      </c>
      <c r="G96" s="931" t="s">
        <v>363</v>
      </c>
      <c r="H96" s="931"/>
      <c r="I96" s="931"/>
      <c r="J96" s="968"/>
    </row>
    <row r="97" spans="2:11" ht="13">
      <c r="B97" s="1009"/>
      <c r="C97" s="968"/>
      <c r="D97" s="968"/>
      <c r="E97" s="931"/>
      <c r="F97" s="931" t="s">
        <v>1075</v>
      </c>
      <c r="G97" s="931" t="s">
        <v>348</v>
      </c>
      <c r="H97" s="931" t="s">
        <v>360</v>
      </c>
      <c r="I97" s="931" t="s">
        <v>362</v>
      </c>
      <c r="J97" s="968"/>
    </row>
    <row r="98" spans="2:11" ht="13">
      <c r="B98" s="964" t="s">
        <v>1083</v>
      </c>
      <c r="E98" s="931" t="s">
        <v>292</v>
      </c>
      <c r="F98" s="958" t="s">
        <v>973</v>
      </c>
      <c r="G98" s="931" t="s">
        <v>361</v>
      </c>
      <c r="H98" s="931" t="s">
        <v>361</v>
      </c>
      <c r="I98" s="931" t="s">
        <v>361</v>
      </c>
      <c r="J98" s="931" t="s">
        <v>111</v>
      </c>
    </row>
    <row r="99" spans="2:11">
      <c r="B99" s="988" t="s">
        <v>1077</v>
      </c>
      <c r="C99" s="988"/>
      <c r="D99" s="988"/>
      <c r="E99" s="1224">
        <f>SUM(F99:I99)</f>
        <v>313064704.78008735</v>
      </c>
      <c r="F99" s="989">
        <f>F52</f>
        <v>146716686.25340113</v>
      </c>
      <c r="G99" s="989">
        <f>G52</f>
        <v>0</v>
      </c>
      <c r="H99" s="989">
        <f>H52</f>
        <v>202462114.90059629</v>
      </c>
      <c r="I99" s="989">
        <f>I52</f>
        <v>-36114096.373910069</v>
      </c>
      <c r="J99" s="991"/>
    </row>
    <row r="100" spans="2:11">
      <c r="B100" s="988" t="s">
        <v>1080</v>
      </c>
      <c r="C100" s="988"/>
      <c r="D100" s="988"/>
      <c r="E100" s="1224">
        <f>SUM(F100:I100)</f>
        <v>0</v>
      </c>
      <c r="F100" s="989">
        <f>F79</f>
        <v>0</v>
      </c>
      <c r="G100" s="989">
        <f>G79</f>
        <v>0</v>
      </c>
      <c r="H100" s="989">
        <f>H79</f>
        <v>0</v>
      </c>
      <c r="I100" s="989">
        <f>I79</f>
        <v>0</v>
      </c>
      <c r="J100" s="991"/>
    </row>
    <row r="101" spans="2:11" ht="13">
      <c r="B101" s="1010" t="s">
        <v>1084</v>
      </c>
      <c r="C101" s="988"/>
      <c r="D101" s="988"/>
      <c r="E101" s="989">
        <f>E99+E100</f>
        <v>313064704.78008735</v>
      </c>
      <c r="F101" s="989">
        <f>F99+F100</f>
        <v>146716686.25340113</v>
      </c>
      <c r="G101" s="989">
        <f>G99+G100</f>
        <v>0</v>
      </c>
      <c r="H101" s="989">
        <f>H99+H100</f>
        <v>202462114.90059629</v>
      </c>
      <c r="I101" s="989">
        <f>I99+I100</f>
        <v>-36114096.373910069</v>
      </c>
      <c r="J101" s="991"/>
    </row>
    <row r="102" spans="2:11" ht="13">
      <c r="B102" s="993"/>
      <c r="E102" s="962"/>
      <c r="F102" s="962"/>
      <c r="G102" s="962"/>
      <c r="H102" s="962"/>
      <c r="I102" s="962"/>
      <c r="J102" s="994"/>
    </row>
    <row r="103" spans="2:11" s="968" customFormat="1" ht="12.75" customHeight="1">
      <c r="B103" s="1011" t="s">
        <v>364</v>
      </c>
      <c r="C103" s="1011"/>
      <c r="E103" s="1012"/>
      <c r="G103" s="1012"/>
      <c r="H103" s="1013"/>
      <c r="I103" s="1014"/>
      <c r="J103" s="1015"/>
    </row>
    <row r="104" spans="2:11" s="968" customFormat="1" ht="15.75" customHeight="1">
      <c r="B104" s="1531" t="s">
        <v>980</v>
      </c>
      <c r="C104" s="1531"/>
      <c r="D104" s="1531"/>
      <c r="E104" s="1531"/>
      <c r="F104" s="1531"/>
      <c r="G104" s="1531"/>
      <c r="H104" s="1531"/>
      <c r="I104" s="1531"/>
      <c r="J104" s="1016"/>
    </row>
    <row r="105" spans="2:11" s="968" customFormat="1" ht="13">
      <c r="B105" s="1017" t="s">
        <v>964</v>
      </c>
      <c r="C105" s="1017"/>
      <c r="H105" s="1014"/>
      <c r="I105" s="1014"/>
      <c r="J105" s="1015"/>
    </row>
    <row r="106" spans="2:11" s="968" customFormat="1" ht="13">
      <c r="B106" s="1017" t="s">
        <v>965</v>
      </c>
      <c r="C106" s="1017"/>
      <c r="H106" s="1014"/>
      <c r="I106" s="1014"/>
      <c r="J106" s="1016"/>
    </row>
    <row r="107" spans="2:11" s="968" customFormat="1" ht="13">
      <c r="B107" s="1017" t="s">
        <v>966</v>
      </c>
      <c r="C107" s="1017"/>
      <c r="H107" s="1014"/>
      <c r="I107" s="1014"/>
      <c r="J107" s="1015"/>
    </row>
    <row r="108" spans="2:11" s="968" customFormat="1" ht="15.75" customHeight="1">
      <c r="B108" s="1531" t="s">
        <v>911</v>
      </c>
      <c r="C108" s="1531"/>
      <c r="D108" s="1531"/>
      <c r="E108" s="1531"/>
      <c r="F108" s="1531"/>
      <c r="G108" s="1531"/>
      <c r="H108" s="1531"/>
      <c r="I108" s="1531"/>
      <c r="K108" s="1018"/>
    </row>
    <row r="109" spans="2:11" s="968" customFormat="1" ht="15.75" customHeight="1">
      <c r="B109" s="1531"/>
      <c r="C109" s="1531"/>
      <c r="D109" s="1531"/>
      <c r="E109" s="1531"/>
      <c r="F109" s="1531"/>
      <c r="G109" s="1531"/>
      <c r="H109" s="1531"/>
      <c r="I109" s="1531"/>
      <c r="K109" s="1018"/>
    </row>
    <row r="110" spans="2:11" s="968" customFormat="1" ht="13">
      <c r="B110" s="1017" t="s">
        <v>1085</v>
      </c>
      <c r="C110" s="1017"/>
      <c r="H110" s="1014"/>
      <c r="I110" s="1014"/>
      <c r="J110" s="1015"/>
    </row>
    <row r="111" spans="2:11" ht="13">
      <c r="C111" s="993"/>
      <c r="E111" s="965"/>
      <c r="F111" s="965"/>
      <c r="H111" s="1019"/>
      <c r="I111" s="1020"/>
      <c r="J111" s="994"/>
    </row>
    <row r="112" spans="2:11" ht="13">
      <c r="B112" s="993"/>
      <c r="C112" s="1021"/>
    </row>
    <row r="113" spans="2:10" ht="13">
      <c r="B113" s="931" t="s">
        <v>799</v>
      </c>
      <c r="C113" s="931"/>
      <c r="D113" s="931"/>
      <c r="E113" s="931" t="s">
        <v>800</v>
      </c>
      <c r="F113" s="931" t="s">
        <v>801</v>
      </c>
      <c r="G113" s="931" t="s">
        <v>802</v>
      </c>
      <c r="H113" s="931" t="s">
        <v>962</v>
      </c>
      <c r="I113" s="931" t="s">
        <v>804</v>
      </c>
      <c r="J113" s="931" t="s">
        <v>805</v>
      </c>
    </row>
    <row r="114" spans="2:10" ht="13">
      <c r="B114" s="964"/>
      <c r="C114" s="968"/>
      <c r="D114" s="968"/>
      <c r="E114" s="931"/>
      <c r="F114" s="931" t="s">
        <v>972</v>
      </c>
      <c r="G114" s="931" t="s">
        <v>363</v>
      </c>
      <c r="H114" s="931"/>
      <c r="I114" s="931"/>
      <c r="J114" s="968"/>
    </row>
    <row r="115" spans="2:10" ht="13">
      <c r="B115" s="964"/>
      <c r="C115" s="974"/>
      <c r="D115" s="968"/>
      <c r="E115" s="931"/>
      <c r="F115" s="931" t="s">
        <v>1075</v>
      </c>
      <c r="G115" s="931" t="s">
        <v>348</v>
      </c>
      <c r="H115" s="931" t="s">
        <v>360</v>
      </c>
      <c r="I115" s="931" t="s">
        <v>362</v>
      </c>
      <c r="J115" s="968"/>
    </row>
    <row r="116" spans="2:10" ht="13">
      <c r="B116" s="964" t="s">
        <v>1086</v>
      </c>
      <c r="C116" s="968"/>
      <c r="D116" s="968"/>
      <c r="E116" s="931" t="s">
        <v>292</v>
      </c>
      <c r="F116" s="958" t="s">
        <v>973</v>
      </c>
      <c r="G116" s="931" t="s">
        <v>361</v>
      </c>
      <c r="H116" s="931" t="s">
        <v>361</v>
      </c>
      <c r="I116" s="931" t="s">
        <v>361</v>
      </c>
      <c r="J116" s="931" t="s">
        <v>111</v>
      </c>
    </row>
    <row r="117" spans="2:10">
      <c r="B117" s="1229" t="s">
        <v>1512</v>
      </c>
      <c r="C117" s="1447"/>
      <c r="D117" s="1451"/>
      <c r="E117" s="1452">
        <f t="shared" ref="E117:E121" si="3">SUM(F117:I117)</f>
        <v>-1156972946.5860953</v>
      </c>
      <c r="F117" s="1458">
        <v>-489724346.396963</v>
      </c>
      <c r="G117" s="1458">
        <v>0</v>
      </c>
      <c r="H117" s="1458">
        <v>-667248600.18913245</v>
      </c>
      <c r="I117" s="1458">
        <v>0</v>
      </c>
      <c r="J117" s="1357" t="s">
        <v>1299</v>
      </c>
    </row>
    <row r="118" spans="2:10">
      <c r="B118" s="1229" t="s">
        <v>1513</v>
      </c>
      <c r="C118" s="1447"/>
      <c r="D118" s="1451"/>
      <c r="E118" s="1452">
        <f t="shared" si="3"/>
        <v>-3524784.1664</v>
      </c>
      <c r="F118" s="1458">
        <v>-3524784.1664</v>
      </c>
      <c r="G118" s="1458">
        <v>0</v>
      </c>
      <c r="H118" s="1458">
        <v>0</v>
      </c>
      <c r="I118" s="1458">
        <v>0</v>
      </c>
      <c r="J118" s="1357" t="s">
        <v>1291</v>
      </c>
    </row>
    <row r="119" spans="2:10" ht="37.5">
      <c r="B119" s="1229" t="s">
        <v>1300</v>
      </c>
      <c r="C119" s="1447"/>
      <c r="D119" s="1451"/>
      <c r="E119" s="1452">
        <f t="shared" si="3"/>
        <v>-64448480.306819655</v>
      </c>
      <c r="F119" s="1458">
        <v>-41454986.195200004</v>
      </c>
      <c r="G119" s="1458">
        <v>-22993494.111619651</v>
      </c>
      <c r="H119" s="1458">
        <v>0</v>
      </c>
      <c r="I119" s="1458">
        <v>0</v>
      </c>
      <c r="J119" s="1357" t="s">
        <v>1301</v>
      </c>
    </row>
    <row r="120" spans="2:10" ht="37.5">
      <c r="B120" s="1229" t="s">
        <v>1302</v>
      </c>
      <c r="C120" s="1447"/>
      <c r="D120" s="1451"/>
      <c r="E120" s="1452">
        <f t="shared" si="3"/>
        <v>-17613352.555199999</v>
      </c>
      <c r="F120" s="1458">
        <v>-16820265.555199999</v>
      </c>
      <c r="G120" s="1458">
        <v>-793087</v>
      </c>
      <c r="H120" s="1458">
        <v>0</v>
      </c>
      <c r="I120" s="1458">
        <v>0</v>
      </c>
      <c r="J120" s="1357" t="s">
        <v>1301</v>
      </c>
    </row>
    <row r="121" spans="2:10" ht="25">
      <c r="B121" s="1229" t="s">
        <v>1303</v>
      </c>
      <c r="C121" s="1447"/>
      <c r="D121" s="1451"/>
      <c r="E121" s="1452">
        <f t="shared" si="3"/>
        <v>93564336.2148</v>
      </c>
      <c r="F121" s="1458">
        <v>93564336.2148</v>
      </c>
      <c r="G121" s="1458">
        <v>0</v>
      </c>
      <c r="H121" s="1458">
        <v>0</v>
      </c>
      <c r="I121" s="1458">
        <v>0</v>
      </c>
      <c r="J121" s="1357" t="s">
        <v>1304</v>
      </c>
    </row>
    <row r="122" spans="2:10">
      <c r="B122" s="1229"/>
      <c r="C122" s="1447"/>
      <c r="D122" s="1451"/>
      <c r="E122" s="1452"/>
      <c r="F122" s="1453"/>
      <c r="G122" s="1453"/>
      <c r="H122" s="1453"/>
      <c r="I122" s="1453"/>
      <c r="J122" s="1454"/>
    </row>
    <row r="123" spans="2:10" ht="13">
      <c r="B123" s="1221"/>
      <c r="C123" s="1222"/>
      <c r="D123" s="1233"/>
      <c r="E123" s="1230">
        <f t="shared" ref="E123" si="4">SUM(F123:I123)</f>
        <v>0</v>
      </c>
      <c r="F123" s="1231"/>
      <c r="G123" s="1231"/>
      <c r="H123" s="1231"/>
      <c r="I123" s="1231"/>
      <c r="J123" s="1232"/>
    </row>
    <row r="124" spans="2:10" ht="13">
      <c r="B124" s="816" t="s">
        <v>1088</v>
      </c>
      <c r="C124" s="982"/>
      <c r="D124" s="982"/>
      <c r="E124" s="1224">
        <f>SUM(E117:E123)</f>
        <v>-1148995227.3997149</v>
      </c>
      <c r="F124" s="1224">
        <f>SUM(F117:F123)</f>
        <v>-457960046.09896302</v>
      </c>
      <c r="G124" s="1224">
        <f>SUM(G117:G123)</f>
        <v>-23786581.111619651</v>
      </c>
      <c r="H124" s="1224">
        <f>SUM(H117:H123)</f>
        <v>-667248600.18913245</v>
      </c>
      <c r="I124" s="1224">
        <f>SUM(I117:I123)</f>
        <v>0</v>
      </c>
      <c r="J124" s="983"/>
    </row>
    <row r="125" spans="2:10" ht="13">
      <c r="B125" s="816"/>
      <c r="C125" s="982"/>
      <c r="D125" s="982"/>
      <c r="E125" s="1224"/>
      <c r="F125" s="1224"/>
      <c r="G125" s="1224"/>
      <c r="H125" s="1224"/>
      <c r="I125" s="1224"/>
      <c r="J125" s="983"/>
    </row>
    <row r="126" spans="2:10">
      <c r="B126" s="1000" t="s">
        <v>904</v>
      </c>
      <c r="C126" s="1001"/>
      <c r="D126" s="1002"/>
      <c r="E126" s="1225">
        <f>SUM(F126:I126)</f>
        <v>17613352.555199999</v>
      </c>
      <c r="F126" s="1226">
        <v>16820265.555199999</v>
      </c>
      <c r="G126" s="1226">
        <v>793087</v>
      </c>
      <c r="H126" s="1226">
        <f>-H120</f>
        <v>0</v>
      </c>
      <c r="I126" s="1226">
        <f>-I120</f>
        <v>0</v>
      </c>
      <c r="J126" s="818"/>
    </row>
    <row r="127" spans="2:10">
      <c r="B127" s="984" t="s">
        <v>1089</v>
      </c>
      <c r="C127" s="985"/>
      <c r="D127" s="1002"/>
      <c r="E127" s="1225">
        <f>SUM(F127:I127)</f>
        <v>64448480.306819655</v>
      </c>
      <c r="F127" s="1226">
        <v>41454986.195200004</v>
      </c>
      <c r="G127" s="1226">
        <v>22993494.111619651</v>
      </c>
      <c r="H127" s="1226">
        <f>-H119</f>
        <v>0</v>
      </c>
      <c r="I127" s="1226">
        <f t="shared" ref="I127" si="5">-I119</f>
        <v>0</v>
      </c>
      <c r="J127" s="818"/>
    </row>
    <row r="128" spans="2:10">
      <c r="B128" s="984" t="s">
        <v>906</v>
      </c>
      <c r="C128" s="985"/>
      <c r="D128" s="1002"/>
      <c r="E128" s="1225">
        <f>SUM(F128:I128)</f>
        <v>0</v>
      </c>
      <c r="F128" s="1226">
        <v>0</v>
      </c>
      <c r="G128" s="1226">
        <v>0</v>
      </c>
      <c r="H128" s="1226">
        <f>-H122</f>
        <v>0</v>
      </c>
      <c r="I128" s="1226">
        <f>-I122</f>
        <v>0</v>
      </c>
      <c r="J128" s="818"/>
    </row>
    <row r="129" spans="2:10">
      <c r="B129" s="984" t="s">
        <v>907</v>
      </c>
      <c r="C129" s="985"/>
      <c r="D129" s="1002"/>
      <c r="E129" s="1225">
        <f>SUM(F129:I129)</f>
        <v>0</v>
      </c>
      <c r="F129" s="1226">
        <v>0</v>
      </c>
      <c r="G129" s="1226">
        <v>0</v>
      </c>
      <c r="H129" s="1226">
        <v>0</v>
      </c>
      <c r="I129" s="1226">
        <v>0</v>
      </c>
      <c r="J129" s="818"/>
    </row>
    <row r="130" spans="2:10" ht="5.15" customHeight="1">
      <c r="B130" s="817"/>
      <c r="C130" s="981"/>
      <c r="D130" s="982"/>
      <c r="E130" s="1224"/>
      <c r="F130" s="1224"/>
      <c r="G130" s="1224"/>
      <c r="H130" s="1224"/>
      <c r="I130" s="1224"/>
      <c r="J130" s="983"/>
    </row>
    <row r="131" spans="2:10" ht="13">
      <c r="B131" s="1003" t="s">
        <v>1090</v>
      </c>
      <c r="C131" s="1004"/>
      <c r="D131" s="982"/>
      <c r="E131" s="1224">
        <f>SUM(E126:E129)+E124</f>
        <v>-1066933394.5376953</v>
      </c>
      <c r="F131" s="1224">
        <f>SUM(F126:F129)+F124</f>
        <v>-399684794.34856302</v>
      </c>
      <c r="G131" s="1224">
        <f>SUM(G126:G129)+G124</f>
        <v>0</v>
      </c>
      <c r="H131" s="1224">
        <f>SUM(H126:H129)+H124</f>
        <v>-667248600.18913245</v>
      </c>
      <c r="I131" s="1224">
        <f>SUM(I126:I129)+I124</f>
        <v>0</v>
      </c>
      <c r="J131" s="983"/>
    </row>
    <row r="132" spans="2:10" ht="13">
      <c r="B132" s="1005"/>
      <c r="C132" s="1006"/>
      <c r="D132" s="1006"/>
      <c r="E132" s="989"/>
      <c r="F132" s="1224"/>
      <c r="G132" s="1224"/>
      <c r="H132" s="1224"/>
      <c r="I132" s="1224"/>
      <c r="J132" s="991"/>
    </row>
    <row r="133" spans="2:10" ht="13">
      <c r="B133" s="1007" t="s">
        <v>266</v>
      </c>
      <c r="C133" s="1008"/>
      <c r="D133" s="988"/>
      <c r="E133" s="989"/>
      <c r="F133" s="989"/>
      <c r="G133" s="989"/>
      <c r="H133" s="989"/>
      <c r="I133" s="990">
        <v>0.15220477644183125</v>
      </c>
      <c r="J133" s="991"/>
    </row>
    <row r="134" spans="2:10" ht="13">
      <c r="B134" s="986" t="s">
        <v>135</v>
      </c>
      <c r="C134" s="987"/>
      <c r="D134" s="988"/>
      <c r="E134" s="989"/>
      <c r="F134" s="989"/>
      <c r="G134" s="989"/>
      <c r="H134" s="990">
        <v>0.2308685932545676</v>
      </c>
      <c r="I134" s="989"/>
      <c r="J134" s="991"/>
    </row>
    <row r="135" spans="2:10" ht="13">
      <c r="B135" s="986" t="s">
        <v>908</v>
      </c>
      <c r="C135" s="987"/>
      <c r="D135" s="988"/>
      <c r="E135" s="989"/>
      <c r="F135" s="989"/>
      <c r="G135" s="990">
        <v>1</v>
      </c>
      <c r="H135" s="989"/>
      <c r="I135" s="989"/>
      <c r="J135" s="991"/>
    </row>
    <row r="136" spans="2:10" ht="13">
      <c r="B136" s="986" t="s">
        <v>909</v>
      </c>
      <c r="C136" s="987"/>
      <c r="D136" s="988"/>
      <c r="E136" s="989"/>
      <c r="F136" s="990">
        <v>0</v>
      </c>
      <c r="G136" s="989"/>
      <c r="H136" s="989"/>
      <c r="I136" s="989"/>
      <c r="J136" s="991"/>
    </row>
    <row r="137" spans="2:10" ht="13">
      <c r="B137" s="992" t="s">
        <v>910</v>
      </c>
      <c r="C137" s="987"/>
      <c r="D137" s="988"/>
      <c r="E137" s="989">
        <f>F137+G137+H137+I137</f>
        <v>-154046745.67674443</v>
      </c>
      <c r="F137" s="989">
        <f>F136*F131</f>
        <v>0</v>
      </c>
      <c r="G137" s="989">
        <f>G131*G135</f>
        <v>0</v>
      </c>
      <c r="H137" s="989">
        <f>H131*H134</f>
        <v>-154046745.67674443</v>
      </c>
      <c r="I137" s="989">
        <f>I133*I131</f>
        <v>0</v>
      </c>
      <c r="J137" s="991"/>
    </row>
    <row r="138" spans="2:10" ht="17.25" customHeight="1">
      <c r="B138" s="974"/>
      <c r="C138" s="974"/>
      <c r="E138" s="962"/>
      <c r="F138" s="962"/>
      <c r="G138" s="962"/>
      <c r="H138" s="962"/>
      <c r="I138" s="962"/>
      <c r="J138" s="994"/>
    </row>
    <row r="139" spans="2:10" ht="13">
      <c r="B139" s="993"/>
      <c r="E139" s="962"/>
      <c r="F139" s="962"/>
      <c r="G139" s="962"/>
      <c r="H139" s="962"/>
      <c r="I139" s="962"/>
      <c r="J139" s="994"/>
    </row>
    <row r="140" spans="2:10" ht="13">
      <c r="B140" s="931" t="s">
        <v>799</v>
      </c>
      <c r="C140" s="931"/>
      <c r="D140" s="931"/>
      <c r="E140" s="931" t="s">
        <v>800</v>
      </c>
      <c r="F140" s="931" t="s">
        <v>801</v>
      </c>
      <c r="G140" s="931" t="s">
        <v>802</v>
      </c>
      <c r="H140" s="931" t="s">
        <v>962</v>
      </c>
      <c r="I140" s="931" t="s">
        <v>804</v>
      </c>
      <c r="J140" s="931" t="s">
        <v>805</v>
      </c>
    </row>
    <row r="141" spans="2:10" ht="13">
      <c r="B141" s="964"/>
      <c r="C141" s="968"/>
      <c r="D141" s="968"/>
      <c r="E141" s="931"/>
      <c r="F141" s="931" t="s">
        <v>972</v>
      </c>
      <c r="G141" s="931" t="s">
        <v>363</v>
      </c>
      <c r="H141" s="931"/>
      <c r="I141" s="931"/>
      <c r="J141" s="968"/>
    </row>
    <row r="142" spans="2:10" ht="13">
      <c r="B142" s="964"/>
      <c r="C142" s="968"/>
      <c r="D142" s="968"/>
      <c r="E142" s="931"/>
      <c r="F142" s="931" t="s">
        <v>1075</v>
      </c>
      <c r="G142" s="931" t="s">
        <v>348</v>
      </c>
      <c r="H142" s="931" t="s">
        <v>360</v>
      </c>
      <c r="I142" s="931" t="s">
        <v>362</v>
      </c>
      <c r="J142" s="968"/>
    </row>
    <row r="143" spans="2:10" ht="13">
      <c r="B143" s="964" t="s">
        <v>1091</v>
      </c>
      <c r="C143" s="968"/>
      <c r="D143" s="968"/>
      <c r="E143" s="931" t="s">
        <v>292</v>
      </c>
      <c r="F143" s="958" t="s">
        <v>973</v>
      </c>
      <c r="G143" s="931" t="s">
        <v>361</v>
      </c>
      <c r="H143" s="931" t="s">
        <v>361</v>
      </c>
      <c r="I143" s="931" t="s">
        <v>361</v>
      </c>
      <c r="J143" s="931" t="s">
        <v>111</v>
      </c>
    </row>
    <row r="144" spans="2:10">
      <c r="B144" s="1022" t="s">
        <v>1306</v>
      </c>
      <c r="C144" s="976"/>
      <c r="D144" s="930"/>
      <c r="E144" s="977">
        <f>F144+G144+H144+I144</f>
        <v>-679490426.6002847</v>
      </c>
      <c r="F144" s="1226">
        <v>-113922055.17598815</v>
      </c>
      <c r="G144" s="1226">
        <v>0</v>
      </c>
      <c r="H144" s="977">
        <v>-565568371.4242965</v>
      </c>
      <c r="I144" s="1223">
        <v>0</v>
      </c>
      <c r="J144" s="1023" t="s">
        <v>1087</v>
      </c>
    </row>
    <row r="145" spans="2:10">
      <c r="B145" s="1022"/>
      <c r="C145" s="995"/>
      <c r="D145" s="997"/>
      <c r="E145" s="1226"/>
      <c r="F145" s="1226"/>
      <c r="G145" s="1226"/>
      <c r="H145" s="1226"/>
      <c r="I145" s="1226"/>
      <c r="J145" s="1228"/>
    </row>
    <row r="146" spans="2:10">
      <c r="B146" s="1022"/>
      <c r="C146" s="995"/>
      <c r="D146" s="997"/>
      <c r="E146" s="1226"/>
      <c r="F146" s="1226"/>
      <c r="G146" s="1226"/>
      <c r="H146" s="1226"/>
      <c r="I146" s="1226"/>
      <c r="J146" s="1228"/>
    </row>
    <row r="147" spans="2:10">
      <c r="B147" s="1022"/>
      <c r="C147" s="995"/>
      <c r="D147" s="996"/>
      <c r="E147" s="998"/>
      <c r="F147" s="998"/>
      <c r="G147" s="998"/>
      <c r="H147" s="998"/>
      <c r="I147" s="998"/>
      <c r="J147" s="999"/>
    </row>
    <row r="148" spans="2:10" ht="13">
      <c r="B148" s="816" t="s">
        <v>1092</v>
      </c>
      <c r="C148" s="982"/>
      <c r="D148" s="982"/>
      <c r="E148" s="1224">
        <f>SUM(E144:E147)</f>
        <v>-679490426.6002847</v>
      </c>
      <c r="F148" s="1224">
        <f>SUM(F144:F147)</f>
        <v>-113922055.17598815</v>
      </c>
      <c r="G148" s="1224">
        <f>SUM(G144:G147)</f>
        <v>0</v>
      </c>
      <c r="H148" s="1224">
        <f>SUM(H144:H147)</f>
        <v>-565568371.4242965</v>
      </c>
      <c r="I148" s="1224">
        <f>SUM(I144:I147)</f>
        <v>0</v>
      </c>
      <c r="J148" s="983"/>
    </row>
    <row r="149" spans="2:10" ht="13">
      <c r="B149" s="816"/>
      <c r="C149" s="982"/>
      <c r="D149" s="982"/>
      <c r="E149" s="1224"/>
      <c r="F149" s="1224"/>
      <c r="G149" s="1224"/>
      <c r="H149" s="1224"/>
      <c r="I149" s="1224"/>
      <c r="J149" s="983"/>
    </row>
    <row r="150" spans="2:10">
      <c r="B150" s="1000" t="s">
        <v>904</v>
      </c>
      <c r="C150" s="1001"/>
      <c r="D150" s="1002"/>
      <c r="E150" s="1230">
        <f t="shared" ref="E150:E153" si="6">SUM(F150:I150)</f>
        <v>0</v>
      </c>
      <c r="F150" s="1226">
        <v>0</v>
      </c>
      <c r="G150" s="1226">
        <v>0</v>
      </c>
      <c r="H150" s="1226">
        <v>0</v>
      </c>
      <c r="I150" s="1226">
        <v>0</v>
      </c>
      <c r="J150" s="818"/>
    </row>
    <row r="151" spans="2:10">
      <c r="B151" s="984" t="s">
        <v>905</v>
      </c>
      <c r="C151" s="985"/>
      <c r="D151" s="1002"/>
      <c r="E151" s="1230">
        <f t="shared" si="6"/>
        <v>0</v>
      </c>
      <c r="F151" s="1226">
        <v>0</v>
      </c>
      <c r="G151" s="1226">
        <v>0</v>
      </c>
      <c r="H151" s="1226">
        <v>0</v>
      </c>
      <c r="I151" s="1226">
        <v>0</v>
      </c>
      <c r="J151" s="818"/>
    </row>
    <row r="152" spans="2:10">
      <c r="B152" s="984" t="s">
        <v>906</v>
      </c>
      <c r="C152" s="985"/>
      <c r="D152" s="1002"/>
      <c r="E152" s="1230">
        <f t="shared" si="6"/>
        <v>0</v>
      </c>
      <c r="F152" s="1226">
        <v>0</v>
      </c>
      <c r="G152" s="1226">
        <v>0</v>
      </c>
      <c r="H152" s="1226">
        <v>0</v>
      </c>
      <c r="I152" s="1226">
        <v>0</v>
      </c>
      <c r="J152" s="818"/>
    </row>
    <row r="153" spans="2:10">
      <c r="B153" s="984" t="s">
        <v>907</v>
      </c>
      <c r="C153" s="985"/>
      <c r="D153" s="1002"/>
      <c r="E153" s="1230">
        <f t="shared" si="6"/>
        <v>0</v>
      </c>
      <c r="F153" s="1226">
        <v>0</v>
      </c>
      <c r="G153" s="1226">
        <v>0</v>
      </c>
      <c r="H153" s="1226">
        <v>0</v>
      </c>
      <c r="I153" s="1226">
        <v>0</v>
      </c>
      <c r="J153" s="818"/>
    </row>
    <row r="154" spans="2:10" ht="5.15" customHeight="1">
      <c r="B154" s="817"/>
      <c r="C154" s="981"/>
      <c r="D154" s="982"/>
      <c r="E154" s="1224"/>
      <c r="F154" s="1224"/>
      <c r="G154" s="1224"/>
      <c r="H154" s="1224"/>
      <c r="I154" s="1224"/>
      <c r="J154" s="983"/>
    </row>
    <row r="155" spans="2:10" ht="13">
      <c r="B155" s="1003" t="s">
        <v>1090</v>
      </c>
      <c r="C155" s="1004"/>
      <c r="D155" s="982"/>
      <c r="E155" s="1224">
        <f>SUM(E150:E153)+E148</f>
        <v>-679490426.6002847</v>
      </c>
      <c r="F155" s="1224">
        <f>SUM(F150:F153)+F148</f>
        <v>-113922055.17598815</v>
      </c>
      <c r="G155" s="1224">
        <f>SUM(G150:G153)+G148</f>
        <v>0</v>
      </c>
      <c r="H155" s="1224">
        <f>SUM(H150:H153)+H148</f>
        <v>-565568371.4242965</v>
      </c>
      <c r="I155" s="1224">
        <f>SUM(I150:I153)+I148</f>
        <v>0</v>
      </c>
      <c r="J155" s="983"/>
    </row>
    <row r="156" spans="2:10" ht="13">
      <c r="B156" s="1005"/>
      <c r="C156" s="1006"/>
      <c r="D156" s="1006"/>
      <c r="E156" s="989"/>
      <c r="F156" s="1224"/>
      <c r="G156" s="1224"/>
      <c r="H156" s="1224"/>
      <c r="I156" s="1224"/>
      <c r="J156" s="991"/>
    </row>
    <row r="157" spans="2:10" ht="13">
      <c r="B157" s="1007" t="s">
        <v>266</v>
      </c>
      <c r="C157" s="1008"/>
      <c r="D157" s="988"/>
      <c r="E157" s="989"/>
      <c r="F157" s="989"/>
      <c r="G157" s="989"/>
      <c r="H157" s="989"/>
      <c r="I157" s="990">
        <v>0.15220477644183125</v>
      </c>
      <c r="J157" s="991"/>
    </row>
    <row r="158" spans="2:10" ht="13">
      <c r="B158" s="986" t="s">
        <v>135</v>
      </c>
      <c r="C158" s="987"/>
      <c r="D158" s="988"/>
      <c r="E158" s="989"/>
      <c r="F158" s="989"/>
      <c r="G158" s="989"/>
      <c r="H158" s="990">
        <v>0.2308685932545676</v>
      </c>
      <c r="I158" s="989"/>
      <c r="J158" s="991"/>
    </row>
    <row r="159" spans="2:10" ht="13">
      <c r="B159" s="986" t="s">
        <v>908</v>
      </c>
      <c r="C159" s="987"/>
      <c r="D159" s="988"/>
      <c r="E159" s="989"/>
      <c r="F159" s="989"/>
      <c r="G159" s="990">
        <v>1</v>
      </c>
      <c r="H159" s="989"/>
      <c r="I159" s="989"/>
      <c r="J159" s="991"/>
    </row>
    <row r="160" spans="2:10" ht="13">
      <c r="B160" s="986" t="s">
        <v>909</v>
      </c>
      <c r="C160" s="987"/>
      <c r="D160" s="988"/>
      <c r="E160" s="989"/>
      <c r="F160" s="990">
        <v>0</v>
      </c>
      <c r="G160" s="989"/>
      <c r="H160" s="989"/>
      <c r="I160" s="989"/>
      <c r="J160" s="991"/>
    </row>
    <row r="161" spans="2:10" ht="13">
      <c r="B161" s="992" t="s">
        <v>910</v>
      </c>
      <c r="C161" s="987"/>
      <c r="D161" s="988"/>
      <c r="E161" s="989">
        <f>F161+G161+H161+I161</f>
        <v>-130571974.30000412</v>
      </c>
      <c r="F161" s="989">
        <f>F160*F155</f>
        <v>0</v>
      </c>
      <c r="G161" s="989">
        <f>G155*G159</f>
        <v>0</v>
      </c>
      <c r="H161" s="989">
        <f>H155*H158</f>
        <v>-130571974.30000412</v>
      </c>
      <c r="I161" s="989">
        <f>I157*I155</f>
        <v>0</v>
      </c>
      <c r="J161" s="991"/>
    </row>
    <row r="162" spans="2:10" ht="13">
      <c r="B162" s="993"/>
      <c r="E162" s="962"/>
      <c r="F162" s="962"/>
      <c r="G162" s="962"/>
      <c r="H162" s="962"/>
      <c r="I162" s="962"/>
      <c r="J162" s="994"/>
    </row>
    <row r="163" spans="2:10" ht="13">
      <c r="B163" s="993"/>
      <c r="E163" s="962"/>
      <c r="F163" s="962"/>
      <c r="G163" s="962"/>
      <c r="H163" s="962"/>
      <c r="I163" s="962"/>
      <c r="J163" s="994"/>
    </row>
    <row r="164" spans="2:10" ht="13">
      <c r="B164" s="931" t="s">
        <v>799</v>
      </c>
      <c r="C164" s="931"/>
      <c r="D164" s="931"/>
      <c r="E164" s="931" t="s">
        <v>800</v>
      </c>
      <c r="F164" s="931" t="s">
        <v>801</v>
      </c>
      <c r="G164" s="931" t="s">
        <v>802</v>
      </c>
      <c r="H164" s="931" t="s">
        <v>962</v>
      </c>
      <c r="I164" s="931" t="s">
        <v>804</v>
      </c>
      <c r="J164" s="931" t="s">
        <v>805</v>
      </c>
    </row>
    <row r="165" spans="2:10" ht="13">
      <c r="B165" s="964"/>
      <c r="C165" s="968"/>
      <c r="D165" s="968"/>
      <c r="E165" s="931"/>
      <c r="F165" s="931" t="s">
        <v>972</v>
      </c>
      <c r="G165" s="931" t="s">
        <v>363</v>
      </c>
      <c r="H165" s="931"/>
      <c r="I165" s="931"/>
      <c r="J165" s="968"/>
    </row>
    <row r="166" spans="2:10" ht="13">
      <c r="B166" s="964"/>
      <c r="C166" s="968"/>
      <c r="D166" s="968"/>
      <c r="E166" s="931"/>
      <c r="F166" s="931" t="s">
        <v>1075</v>
      </c>
      <c r="G166" s="931" t="s">
        <v>348</v>
      </c>
      <c r="H166" s="931" t="s">
        <v>360</v>
      </c>
      <c r="I166" s="931" t="s">
        <v>362</v>
      </c>
      <c r="J166" s="968"/>
    </row>
    <row r="167" spans="2:10" ht="13">
      <c r="B167" s="964" t="s">
        <v>1093</v>
      </c>
      <c r="C167" s="968"/>
      <c r="D167" s="968"/>
      <c r="E167" s="931" t="s">
        <v>292</v>
      </c>
      <c r="F167" s="958" t="s">
        <v>973</v>
      </c>
      <c r="G167" s="931" t="s">
        <v>361</v>
      </c>
      <c r="H167" s="931" t="s">
        <v>361</v>
      </c>
      <c r="I167" s="931" t="s">
        <v>361</v>
      </c>
      <c r="J167" s="931" t="s">
        <v>111</v>
      </c>
    </row>
    <row r="168" spans="2:10">
      <c r="B168" s="988" t="s">
        <v>1094</v>
      </c>
      <c r="C168" s="988"/>
      <c r="D168" s="988"/>
      <c r="E168" s="1224">
        <f>SUM(F168:I168)</f>
        <v>-1148995227.3997152</v>
      </c>
      <c r="F168" s="989">
        <f>F124</f>
        <v>-457960046.09896302</v>
      </c>
      <c r="G168" s="989">
        <f>G124</f>
        <v>-23786581.111619651</v>
      </c>
      <c r="H168" s="989">
        <f>H124</f>
        <v>-667248600.18913245</v>
      </c>
      <c r="I168" s="989">
        <f>I124</f>
        <v>0</v>
      </c>
      <c r="J168" s="991"/>
    </row>
    <row r="169" spans="2:10">
      <c r="B169" s="988" t="s">
        <v>1091</v>
      </c>
      <c r="C169" s="988"/>
      <c r="D169" s="988"/>
      <c r="E169" s="1224">
        <f>SUM(F169:I169)</f>
        <v>-679490426.6002847</v>
      </c>
      <c r="F169" s="989">
        <f>F148</f>
        <v>-113922055.17598815</v>
      </c>
      <c r="G169" s="989">
        <f>G148</f>
        <v>0</v>
      </c>
      <c r="H169" s="989">
        <f>H148</f>
        <v>-565568371.4242965</v>
      </c>
      <c r="I169" s="989">
        <f>I148</f>
        <v>0</v>
      </c>
      <c r="J169" s="991"/>
    </row>
    <row r="170" spans="2:10" ht="13">
      <c r="B170" s="816" t="s">
        <v>1457</v>
      </c>
      <c r="C170" s="988"/>
      <c r="D170" s="988"/>
      <c r="E170" s="989">
        <f>E168+E169</f>
        <v>-1828485654</v>
      </c>
      <c r="F170" s="989">
        <f>F168+F169</f>
        <v>-571882101.27495122</v>
      </c>
      <c r="G170" s="989">
        <f>G168+G169</f>
        <v>-23786581.111619651</v>
      </c>
      <c r="H170" s="989">
        <f>H168+H169</f>
        <v>-1232816971.6134291</v>
      </c>
      <c r="I170" s="989">
        <f>I168+I169</f>
        <v>0</v>
      </c>
      <c r="J170" s="991"/>
    </row>
    <row r="171" spans="2:10" ht="13">
      <c r="B171" s="993"/>
      <c r="E171" s="962"/>
      <c r="F171" s="962"/>
      <c r="G171" s="962"/>
      <c r="H171" s="962"/>
      <c r="I171" s="962"/>
      <c r="J171" s="994"/>
    </row>
    <row r="172" spans="2:10" s="968" customFormat="1" ht="13">
      <c r="B172" s="964" t="s">
        <v>366</v>
      </c>
      <c r="G172" s="1014"/>
      <c r="H172" s="1014"/>
      <c r="I172" s="1014"/>
      <c r="J172" s="1015"/>
    </row>
    <row r="173" spans="2:10" s="968" customFormat="1" ht="12.75" customHeight="1">
      <c r="B173" s="1531" t="s">
        <v>980</v>
      </c>
      <c r="C173" s="1531"/>
      <c r="D173" s="1531"/>
      <c r="E173" s="1531"/>
      <c r="F173" s="1531"/>
      <c r="G173" s="1531"/>
      <c r="H173" s="1531"/>
      <c r="I173" s="1531"/>
      <c r="J173" s="1015"/>
    </row>
    <row r="174" spans="2:10" s="968" customFormat="1" ht="13">
      <c r="B174" s="1017" t="s">
        <v>964</v>
      </c>
      <c r="C174" s="1017"/>
      <c r="H174" s="1014"/>
      <c r="I174" s="1014"/>
      <c r="J174" s="1015"/>
    </row>
    <row r="175" spans="2:10" s="968" customFormat="1" ht="13">
      <c r="B175" s="1017" t="s">
        <v>965</v>
      </c>
      <c r="C175" s="1017"/>
      <c r="H175" s="1014"/>
      <c r="I175" s="1014"/>
      <c r="J175" s="1015"/>
    </row>
    <row r="176" spans="2:10" s="968" customFormat="1" ht="13">
      <c r="B176" s="1017" t="s">
        <v>966</v>
      </c>
      <c r="C176" s="1017"/>
      <c r="H176" s="1014"/>
      <c r="I176" s="1014"/>
      <c r="J176" s="1015"/>
    </row>
    <row r="177" spans="2:12" s="968" customFormat="1" ht="15.75" customHeight="1">
      <c r="B177" s="1531" t="s">
        <v>911</v>
      </c>
      <c r="C177" s="1531"/>
      <c r="D177" s="1531"/>
      <c r="E177" s="1531"/>
      <c r="F177" s="1531"/>
      <c r="G177" s="1531"/>
      <c r="H177" s="1531"/>
      <c r="I177" s="1531"/>
      <c r="K177" s="1018"/>
    </row>
    <row r="178" spans="2:12" s="968" customFormat="1" ht="15.75" customHeight="1">
      <c r="B178" s="1531"/>
      <c r="C178" s="1531"/>
      <c r="D178" s="1531"/>
      <c r="E178" s="1531"/>
      <c r="F178" s="1531"/>
      <c r="G178" s="1531"/>
      <c r="H178" s="1531"/>
      <c r="I178" s="1531"/>
      <c r="K178" s="1018"/>
    </row>
    <row r="179" spans="2:12" s="968" customFormat="1" ht="13">
      <c r="B179" s="1017" t="s">
        <v>1095</v>
      </c>
      <c r="G179" s="1014"/>
      <c r="H179" s="1014"/>
      <c r="I179" s="1014"/>
      <c r="J179" s="1015"/>
    </row>
    <row r="180" spans="2:12" ht="12" customHeight="1">
      <c r="B180" s="1025"/>
      <c r="C180" s="1026"/>
      <c r="D180" s="1027"/>
      <c r="E180" s="1027"/>
      <c r="F180" s="1027"/>
      <c r="G180" s="1027"/>
      <c r="H180" s="1027"/>
      <c r="I180" s="1027"/>
      <c r="J180" s="1027"/>
    </row>
    <row r="181" spans="2:12" ht="13">
      <c r="B181" s="953"/>
    </row>
    <row r="182" spans="2:12" ht="13">
      <c r="B182" s="931" t="s">
        <v>799</v>
      </c>
      <c r="C182" s="931"/>
      <c r="D182" s="931"/>
      <c r="E182" s="931" t="s">
        <v>800</v>
      </c>
      <c r="F182" s="931" t="s">
        <v>801</v>
      </c>
      <c r="G182" s="931" t="s">
        <v>802</v>
      </c>
      <c r="H182" s="931" t="s">
        <v>962</v>
      </c>
      <c r="I182" s="931" t="s">
        <v>804</v>
      </c>
      <c r="J182" s="931" t="s">
        <v>805</v>
      </c>
    </row>
    <row r="183" spans="2:12" ht="13">
      <c r="B183" s="964"/>
      <c r="C183" s="968"/>
      <c r="D183" s="968"/>
      <c r="E183" s="931"/>
      <c r="F183" s="931" t="s">
        <v>972</v>
      </c>
      <c r="G183" s="931" t="s">
        <v>363</v>
      </c>
      <c r="H183" s="931"/>
      <c r="I183" s="931"/>
      <c r="J183" s="968"/>
    </row>
    <row r="184" spans="2:12" ht="13">
      <c r="B184" s="964"/>
      <c r="C184" s="974"/>
      <c r="D184" s="968"/>
      <c r="E184" s="931"/>
      <c r="F184" s="931" t="s">
        <v>1075</v>
      </c>
      <c r="G184" s="931" t="s">
        <v>348</v>
      </c>
      <c r="H184" s="931" t="s">
        <v>360</v>
      </c>
      <c r="I184" s="931" t="s">
        <v>362</v>
      </c>
      <c r="J184" s="968"/>
      <c r="L184" s="952" t="s">
        <v>154</v>
      </c>
    </row>
    <row r="185" spans="2:12" ht="13">
      <c r="B185" s="964" t="s">
        <v>1096</v>
      </c>
      <c r="C185" s="968"/>
      <c r="D185" s="968"/>
      <c r="E185" s="931" t="s">
        <v>292</v>
      </c>
      <c r="F185" s="958" t="s">
        <v>973</v>
      </c>
      <c r="G185" s="931" t="s">
        <v>361</v>
      </c>
      <c r="H185" s="931" t="s">
        <v>361</v>
      </c>
      <c r="I185" s="931" t="s">
        <v>361</v>
      </c>
      <c r="J185" s="931" t="s">
        <v>111</v>
      </c>
    </row>
    <row r="186" spans="2:12" ht="13">
      <c r="B186" s="1229" t="s">
        <v>1515</v>
      </c>
      <c r="C186" s="1447"/>
      <c r="D186" s="1455"/>
      <c r="E186" s="1452">
        <v>-8090081.1461258931</v>
      </c>
      <c r="F186" s="1456">
        <v>-8090081.1461258931</v>
      </c>
      <c r="G186" s="1459">
        <v>0</v>
      </c>
      <c r="H186" s="1459">
        <v>0</v>
      </c>
      <c r="I186" s="1459">
        <v>0</v>
      </c>
      <c r="J186" s="1457" t="s">
        <v>1291</v>
      </c>
    </row>
    <row r="187" spans="2:12" ht="13">
      <c r="B187" s="1229" t="s">
        <v>1516</v>
      </c>
      <c r="C187" s="1447"/>
      <c r="D187" s="1455"/>
      <c r="E187" s="1452">
        <f t="shared" ref="E187:E209" si="7">SUM(F187:I187)</f>
        <v>-4136512.0924305287</v>
      </c>
      <c r="F187" s="1456">
        <v>-4136512.0924305287</v>
      </c>
      <c r="G187" s="1459">
        <v>0</v>
      </c>
      <c r="H187" s="1459">
        <v>0</v>
      </c>
      <c r="I187" s="1459">
        <v>0</v>
      </c>
      <c r="J187" s="1457" t="s">
        <v>1291</v>
      </c>
    </row>
    <row r="188" spans="2:12" ht="13">
      <c r="B188" s="1229" t="s">
        <v>1517</v>
      </c>
      <c r="C188" s="1447"/>
      <c r="D188" s="1455"/>
      <c r="E188" s="1452">
        <f t="shared" si="7"/>
        <v>-360498.55335854494</v>
      </c>
      <c r="F188" s="1459">
        <v>-360498.55335854494</v>
      </c>
      <c r="G188" s="1459">
        <v>0</v>
      </c>
      <c r="H188" s="1459">
        <v>0</v>
      </c>
      <c r="I188" s="1459">
        <v>0</v>
      </c>
      <c r="J188" s="1457" t="s">
        <v>1291</v>
      </c>
    </row>
    <row r="189" spans="2:12" ht="13">
      <c r="B189" s="1229" t="s">
        <v>1518</v>
      </c>
      <c r="C189" s="1447"/>
      <c r="D189" s="1455"/>
      <c r="E189" s="1452">
        <f t="shared" si="7"/>
        <v>-5716905.2479652232</v>
      </c>
      <c r="F189" s="1456">
        <v>-5716905.2479652232</v>
      </c>
      <c r="G189" s="1459">
        <v>0</v>
      </c>
      <c r="H189" s="1459">
        <v>0</v>
      </c>
      <c r="I189" s="1459">
        <v>0</v>
      </c>
      <c r="J189" s="1457" t="s">
        <v>1291</v>
      </c>
    </row>
    <row r="190" spans="2:12" ht="13">
      <c r="B190" s="1229" t="s">
        <v>1519</v>
      </c>
      <c r="C190" s="1447"/>
      <c r="D190" s="1455"/>
      <c r="E190" s="1452">
        <f t="shared" si="7"/>
        <v>-3354.9514372716021</v>
      </c>
      <c r="F190" s="1456">
        <v>-3354.9514372716021</v>
      </c>
      <c r="G190" s="1459">
        <v>0</v>
      </c>
      <c r="H190" s="1459">
        <v>0</v>
      </c>
      <c r="I190" s="1459">
        <v>0</v>
      </c>
      <c r="J190" s="1457" t="s">
        <v>1291</v>
      </c>
    </row>
    <row r="191" spans="2:12" ht="13">
      <c r="B191" s="1229" t="s">
        <v>1520</v>
      </c>
      <c r="C191" s="1447"/>
      <c r="D191" s="1455"/>
      <c r="E191" s="1452">
        <f t="shared" si="7"/>
        <v>-234229.80561702093</v>
      </c>
      <c r="F191" s="1456">
        <v>-234229.80561702093</v>
      </c>
      <c r="G191" s="1459">
        <v>0</v>
      </c>
      <c r="H191" s="1459">
        <v>0</v>
      </c>
      <c r="I191" s="1459">
        <v>0</v>
      </c>
      <c r="J191" s="1457" t="s">
        <v>1291</v>
      </c>
    </row>
    <row r="192" spans="2:12" ht="13">
      <c r="B192" s="1229" t="s">
        <v>1521</v>
      </c>
      <c r="C192" s="1447"/>
      <c r="D192" s="1455"/>
      <c r="E192" s="1452">
        <f t="shared" si="7"/>
        <v>-1237463.0116970893</v>
      </c>
      <c r="F192" s="1456">
        <v>-1237463.0116970893</v>
      </c>
      <c r="G192" s="1459">
        <v>0</v>
      </c>
      <c r="H192" s="1459">
        <v>0</v>
      </c>
      <c r="I192" s="1459">
        <v>0</v>
      </c>
      <c r="J192" s="1457" t="s">
        <v>1291</v>
      </c>
    </row>
    <row r="193" spans="2:10" ht="13">
      <c r="B193" s="1229" t="s">
        <v>1522</v>
      </c>
      <c r="C193" s="1447"/>
      <c r="D193" s="1455"/>
      <c r="E193" s="1452">
        <f t="shared" si="7"/>
        <v>-1498984.3572906035</v>
      </c>
      <c r="F193" s="1456">
        <v>-1498984.3572906035</v>
      </c>
      <c r="G193" s="1459">
        <v>0</v>
      </c>
      <c r="H193" s="1459">
        <v>0</v>
      </c>
      <c r="I193" s="1459">
        <v>0</v>
      </c>
      <c r="J193" s="1457" t="s">
        <v>1291</v>
      </c>
    </row>
    <row r="194" spans="2:10" ht="13">
      <c r="B194" s="1229" t="s">
        <v>1523</v>
      </c>
      <c r="C194" s="1447"/>
      <c r="D194" s="1455"/>
      <c r="E194" s="1452">
        <f t="shared" si="7"/>
        <v>-611524.13223600003</v>
      </c>
      <c r="F194" s="1456">
        <v>-611524.13223600003</v>
      </c>
      <c r="G194" s="1459">
        <v>0</v>
      </c>
      <c r="H194" s="1459">
        <v>0</v>
      </c>
      <c r="I194" s="1459">
        <v>0</v>
      </c>
      <c r="J194" s="1457" t="s">
        <v>1291</v>
      </c>
    </row>
    <row r="195" spans="2:10" ht="13">
      <c r="B195" s="1229" t="s">
        <v>1524</v>
      </c>
      <c r="C195" s="1447"/>
      <c r="D195" s="1455"/>
      <c r="E195" s="1452">
        <f t="shared" si="7"/>
        <v>-769611.31118999992</v>
      </c>
      <c r="F195" s="1456">
        <v>-769611.31118999992</v>
      </c>
      <c r="G195" s="1459">
        <v>0</v>
      </c>
      <c r="H195" s="1459">
        <v>0</v>
      </c>
      <c r="I195" s="1459">
        <v>0</v>
      </c>
      <c r="J195" s="1457" t="s">
        <v>1291</v>
      </c>
    </row>
    <row r="196" spans="2:10" ht="13">
      <c r="B196" s="1229" t="s">
        <v>1525</v>
      </c>
      <c r="C196" s="1447"/>
      <c r="D196" s="1455"/>
      <c r="E196" s="1452">
        <f t="shared" si="7"/>
        <v>-2570765.2011000002</v>
      </c>
      <c r="F196" s="1456">
        <v>-2570765.2011000002</v>
      </c>
      <c r="G196" s="1459">
        <v>0</v>
      </c>
      <c r="H196" s="1459">
        <v>0</v>
      </c>
      <c r="I196" s="1459">
        <v>0</v>
      </c>
      <c r="J196" s="1457" t="s">
        <v>1291</v>
      </c>
    </row>
    <row r="197" spans="2:10" ht="13">
      <c r="B197" s="1229" t="s">
        <v>1526</v>
      </c>
      <c r="C197" s="1447"/>
      <c r="D197" s="1455"/>
      <c r="E197" s="1452">
        <f t="shared" si="7"/>
        <v>-94155.953767399842</v>
      </c>
      <c r="F197" s="1456">
        <v>-94155.953767399842</v>
      </c>
      <c r="G197" s="1459">
        <v>0</v>
      </c>
      <c r="H197" s="1459">
        <v>0</v>
      </c>
      <c r="I197" s="1459">
        <v>0</v>
      </c>
      <c r="J197" s="1457" t="s">
        <v>1291</v>
      </c>
    </row>
    <row r="198" spans="2:10" ht="13">
      <c r="B198" s="1229" t="s">
        <v>1527</v>
      </c>
      <c r="C198" s="1447"/>
      <c r="D198" s="1455"/>
      <c r="E198" s="1452">
        <f t="shared" si="7"/>
        <v>-2294841.4581802525</v>
      </c>
      <c r="F198" s="1456">
        <v>-2294841.4581802525</v>
      </c>
      <c r="G198" s="1459">
        <v>0</v>
      </c>
      <c r="H198" s="1459">
        <v>0</v>
      </c>
      <c r="I198" s="1459">
        <v>0</v>
      </c>
      <c r="J198" s="1457" t="s">
        <v>1291</v>
      </c>
    </row>
    <row r="199" spans="2:10" ht="13">
      <c r="B199" s="1229" t="s">
        <v>1567</v>
      </c>
      <c r="C199" s="1447"/>
      <c r="D199" s="1455"/>
      <c r="E199" s="1452">
        <f t="shared" si="7"/>
        <v>-5364.2355624632228</v>
      </c>
      <c r="F199" s="1456">
        <v>-5364.2355624632228</v>
      </c>
      <c r="G199" s="1459">
        <v>0</v>
      </c>
      <c r="H199" s="1459">
        <v>0</v>
      </c>
      <c r="I199" s="1459">
        <v>0</v>
      </c>
      <c r="J199" s="1457" t="s">
        <v>1291</v>
      </c>
    </row>
    <row r="200" spans="2:10" ht="13">
      <c r="B200" s="1229" t="s">
        <v>1309</v>
      </c>
      <c r="C200" s="1447"/>
      <c r="D200" s="1455"/>
      <c r="E200" s="1452">
        <f t="shared" si="7"/>
        <v>-255731.07275126094</v>
      </c>
      <c r="F200" s="1456">
        <v>-255731.07275126094</v>
      </c>
      <c r="G200" s="1459">
        <v>0</v>
      </c>
      <c r="H200" s="1459">
        <v>0</v>
      </c>
      <c r="I200" s="1459">
        <v>0</v>
      </c>
      <c r="J200" s="1457" t="s">
        <v>1291</v>
      </c>
    </row>
    <row r="201" spans="2:10" ht="13">
      <c r="B201" s="1229" t="s">
        <v>1354</v>
      </c>
      <c r="C201" s="1447"/>
      <c r="D201" s="1455"/>
      <c r="E201" s="1452">
        <f t="shared" si="7"/>
        <v>-14149634.208114317</v>
      </c>
      <c r="F201" s="1456">
        <v>-14149634.208114317</v>
      </c>
      <c r="G201" s="1459">
        <v>0</v>
      </c>
      <c r="H201" s="1459">
        <v>0</v>
      </c>
      <c r="I201" s="1459">
        <v>0</v>
      </c>
      <c r="J201" s="1457" t="s">
        <v>1291</v>
      </c>
    </row>
    <row r="202" spans="2:10" ht="13">
      <c r="B202" s="1229" t="s">
        <v>1355</v>
      </c>
      <c r="C202" s="1447"/>
      <c r="D202" s="1455"/>
      <c r="E202" s="1452">
        <f t="shared" si="7"/>
        <v>-1394230.8887520533</v>
      </c>
      <c r="F202" s="1456">
        <v>-1394230.8887520533</v>
      </c>
      <c r="G202" s="1459">
        <v>0</v>
      </c>
      <c r="H202" s="1459">
        <v>0</v>
      </c>
      <c r="I202" s="1459">
        <v>0</v>
      </c>
      <c r="J202" s="1457" t="s">
        <v>1291</v>
      </c>
    </row>
    <row r="203" spans="2:10" ht="13">
      <c r="B203" s="1229" t="s">
        <v>1357</v>
      </c>
      <c r="C203" s="1447"/>
      <c r="D203" s="1455"/>
      <c r="E203" s="1452">
        <f t="shared" si="7"/>
        <v>-87797817.390988916</v>
      </c>
      <c r="F203" s="1456">
        <v>-87797817.390988916</v>
      </c>
      <c r="G203" s="1459">
        <v>0</v>
      </c>
      <c r="H203" s="1459">
        <v>0</v>
      </c>
      <c r="I203" s="1459">
        <v>0</v>
      </c>
      <c r="J203" s="1457" t="s">
        <v>1291</v>
      </c>
    </row>
    <row r="204" spans="2:10" ht="13">
      <c r="B204" s="1229" t="s">
        <v>1314</v>
      </c>
      <c r="C204" s="1447"/>
      <c r="D204" s="1455"/>
      <c r="E204" s="1452">
        <f t="shared" si="7"/>
        <v>-14086672.725300444</v>
      </c>
      <c r="F204" s="1456">
        <v>-14086672.725300444</v>
      </c>
      <c r="G204" s="1459">
        <v>0</v>
      </c>
      <c r="H204" s="1459">
        <v>0</v>
      </c>
      <c r="I204" s="1459">
        <v>0</v>
      </c>
      <c r="J204" s="1457" t="s">
        <v>1291</v>
      </c>
    </row>
    <row r="205" spans="2:10" ht="13">
      <c r="B205" s="1229" t="s">
        <v>867</v>
      </c>
      <c r="C205" s="1447"/>
      <c r="D205" s="1455"/>
      <c r="E205" s="1452">
        <f t="shared" si="7"/>
        <v>-1978498.3297617484</v>
      </c>
      <c r="F205" s="1456">
        <v>-1978498.3297617484</v>
      </c>
      <c r="G205" s="1459">
        <v>0</v>
      </c>
      <c r="H205" s="1459">
        <v>0</v>
      </c>
      <c r="I205" s="1459">
        <v>0</v>
      </c>
      <c r="J205" s="1457" t="s">
        <v>1307</v>
      </c>
    </row>
    <row r="206" spans="2:10" ht="25">
      <c r="B206" s="1229" t="s">
        <v>1311</v>
      </c>
      <c r="C206" s="1447"/>
      <c r="D206" s="1455"/>
      <c r="E206" s="1452">
        <f t="shared" si="7"/>
        <v>-222474.813216482</v>
      </c>
      <c r="F206" s="1448">
        <v>-7665.8132164820054</v>
      </c>
      <c r="G206" s="1458">
        <v>0</v>
      </c>
      <c r="H206" s="1458">
        <f>-214809</f>
        <v>-214809</v>
      </c>
      <c r="I206" s="1458">
        <v>0</v>
      </c>
      <c r="J206" s="1449" t="s">
        <v>1312</v>
      </c>
    </row>
    <row r="207" spans="2:10" ht="25.5">
      <c r="B207" s="1229" t="s">
        <v>1313</v>
      </c>
      <c r="C207" s="1447"/>
      <c r="D207" s="1455"/>
      <c r="E207" s="1452">
        <f t="shared" si="7"/>
        <v>-25526449.068347059</v>
      </c>
      <c r="F207" s="1448">
        <v>-7607156.3169637024</v>
      </c>
      <c r="G207" s="1458">
        <v>0</v>
      </c>
      <c r="H207" s="1458">
        <v>-17919292.751383357</v>
      </c>
      <c r="I207" s="1458">
        <v>0</v>
      </c>
      <c r="J207" s="1457" t="s">
        <v>1312</v>
      </c>
    </row>
    <row r="208" spans="2:10" ht="13">
      <c r="B208" s="1229" t="s">
        <v>750</v>
      </c>
      <c r="C208" s="1447"/>
      <c r="D208" s="1455"/>
      <c r="E208" s="1452">
        <f t="shared" si="7"/>
        <v>-188503.392364253</v>
      </c>
      <c r="F208" s="1456">
        <v>-188503.392364253</v>
      </c>
      <c r="G208" s="1459">
        <v>0</v>
      </c>
      <c r="H208" s="1459">
        <v>0</v>
      </c>
      <c r="I208" s="1459">
        <v>0</v>
      </c>
      <c r="J208" s="1457" t="s">
        <v>1291</v>
      </c>
    </row>
    <row r="209" spans="2:10" ht="25">
      <c r="B209" s="1229" t="s">
        <v>1528</v>
      </c>
      <c r="C209" s="1447"/>
      <c r="D209" s="1455"/>
      <c r="E209" s="1452">
        <f t="shared" si="7"/>
        <v>-1881800.2429752888</v>
      </c>
      <c r="F209" s="1448">
        <v>-256952.53195109358</v>
      </c>
      <c r="G209" s="1458">
        <v>0</v>
      </c>
      <c r="H209" s="1458">
        <v>-1624847.7110241952</v>
      </c>
      <c r="I209" s="1458">
        <v>0</v>
      </c>
      <c r="J209" s="1449" t="s">
        <v>1529</v>
      </c>
    </row>
    <row r="210" spans="2:10">
      <c r="B210" s="1235"/>
      <c r="C210" s="1028"/>
      <c r="D210" s="1029"/>
      <c r="E210" s="1236"/>
      <c r="F210" s="1236"/>
      <c r="G210" s="1236"/>
      <c r="H210" s="1236"/>
      <c r="I210" s="1236"/>
      <c r="J210" s="978"/>
    </row>
    <row r="211" spans="2:10" ht="13">
      <c r="B211" s="816" t="s">
        <v>1097</v>
      </c>
      <c r="C211" s="982"/>
      <c r="D211" s="982"/>
      <c r="E211" s="1224">
        <f>SUM(E186:E210)</f>
        <v>-175106103.59053013</v>
      </c>
      <c r="F211" s="1224">
        <f>SUM(F186:F210)</f>
        <v>-155347154.12812257</v>
      </c>
      <c r="G211" s="1224">
        <f>SUM(G186:G210)</f>
        <v>0</v>
      </c>
      <c r="H211" s="1224">
        <f>SUM(H186:H210)</f>
        <v>-19758949.462407552</v>
      </c>
      <c r="I211" s="1224">
        <f>SUM(I186:I210)</f>
        <v>0</v>
      </c>
      <c r="J211" s="983"/>
    </row>
    <row r="212" spans="2:10" ht="13">
      <c r="B212" s="816"/>
      <c r="C212" s="982"/>
      <c r="D212" s="982"/>
      <c r="E212" s="1224"/>
      <c r="F212" s="1224"/>
      <c r="G212" s="1224"/>
      <c r="H212" s="1224"/>
      <c r="I212" s="1224"/>
      <c r="J212" s="983"/>
    </row>
    <row r="213" spans="2:10">
      <c r="B213" s="1000" t="s">
        <v>904</v>
      </c>
      <c r="C213" s="1001"/>
      <c r="D213" s="1002"/>
      <c r="E213" s="1225">
        <f>SUM(F213:I213)</f>
        <v>0</v>
      </c>
      <c r="F213" s="1226"/>
      <c r="G213" s="1226"/>
      <c r="H213" s="1226"/>
      <c r="I213" s="1226"/>
      <c r="J213" s="818"/>
    </row>
    <row r="214" spans="2:10">
      <c r="B214" s="984" t="s">
        <v>905</v>
      </c>
      <c r="C214" s="985"/>
      <c r="D214" s="1002"/>
      <c r="E214" s="1225">
        <f t="shared" ref="E214:E216" si="8">SUM(F214:I214)</f>
        <v>0</v>
      </c>
      <c r="F214" s="1226"/>
      <c r="G214" s="1226"/>
      <c r="H214" s="1226"/>
      <c r="I214" s="1226"/>
      <c r="J214" s="818"/>
    </row>
    <row r="215" spans="2:10">
      <c r="B215" s="984" t="s">
        <v>906</v>
      </c>
      <c r="C215" s="985"/>
      <c r="D215" s="1002"/>
      <c r="E215" s="1225">
        <f t="shared" si="8"/>
        <v>0</v>
      </c>
      <c r="F215" s="1226"/>
      <c r="G215" s="1226"/>
      <c r="H215" s="1226"/>
      <c r="I215" s="1226"/>
      <c r="J215" s="818"/>
    </row>
    <row r="216" spans="2:10">
      <c r="B216" s="984" t="s">
        <v>907</v>
      </c>
      <c r="C216" s="985"/>
      <c r="D216" s="1002"/>
      <c r="E216" s="1225">
        <f t="shared" si="8"/>
        <v>0</v>
      </c>
      <c r="F216" s="1226"/>
      <c r="G216" s="1226"/>
      <c r="H216" s="1226"/>
      <c r="I216" s="1226"/>
      <c r="J216" s="818"/>
    </row>
    <row r="217" spans="2:10" ht="5.15" customHeight="1">
      <c r="B217" s="817"/>
      <c r="C217" s="981"/>
      <c r="D217" s="982"/>
      <c r="E217" s="1224"/>
      <c r="F217" s="1224"/>
      <c r="G217" s="1224"/>
      <c r="H217" s="1224"/>
      <c r="I217" s="1224"/>
      <c r="J217" s="983"/>
    </row>
    <row r="218" spans="2:10" ht="13">
      <c r="B218" s="1003" t="s">
        <v>1098</v>
      </c>
      <c r="C218" s="1004"/>
      <c r="D218" s="982"/>
      <c r="E218" s="1224">
        <f>SUM(E213:E216)+E211</f>
        <v>-175106103.59053013</v>
      </c>
      <c r="F218" s="1224">
        <f>SUM(F213:F216)+F211</f>
        <v>-155347154.12812257</v>
      </c>
      <c r="G218" s="1224">
        <f>SUM(G213:G216)+G211</f>
        <v>0</v>
      </c>
      <c r="H218" s="1224">
        <f>SUM(H213:H216)+H211</f>
        <v>-19758949.462407552</v>
      </c>
      <c r="I218" s="1224">
        <f>SUM(I213:I216)+I211</f>
        <v>0</v>
      </c>
      <c r="J218" s="983"/>
    </row>
    <row r="219" spans="2:10" ht="13">
      <c r="B219" s="1005"/>
      <c r="C219" s="1006"/>
      <c r="D219" s="1006"/>
      <c r="E219" s="989"/>
      <c r="F219" s="1224"/>
      <c r="G219" s="1224"/>
      <c r="H219" s="1224"/>
      <c r="I219" s="1224"/>
      <c r="J219" s="991"/>
    </row>
    <row r="220" spans="2:10" ht="13">
      <c r="B220" s="1007" t="s">
        <v>266</v>
      </c>
      <c r="C220" s="1008"/>
      <c r="D220" s="988"/>
      <c r="E220" s="989"/>
      <c r="F220" s="989"/>
      <c r="G220" s="989"/>
      <c r="H220" s="989"/>
      <c r="I220" s="990">
        <v>0.15220477644183125</v>
      </c>
      <c r="J220" s="991"/>
    </row>
    <row r="221" spans="2:10" ht="13">
      <c r="B221" s="986" t="s">
        <v>135</v>
      </c>
      <c r="C221" s="987"/>
      <c r="D221" s="988"/>
      <c r="E221" s="989"/>
      <c r="F221" s="989"/>
      <c r="G221" s="989"/>
      <c r="H221" s="990">
        <v>0.2308685932545676</v>
      </c>
      <c r="I221" s="989"/>
      <c r="J221" s="991"/>
    </row>
    <row r="222" spans="2:10" ht="13">
      <c r="B222" s="986" t="s">
        <v>908</v>
      </c>
      <c r="C222" s="987"/>
      <c r="D222" s="988"/>
      <c r="E222" s="989"/>
      <c r="F222" s="989"/>
      <c r="G222" s="990">
        <v>1</v>
      </c>
      <c r="H222" s="989"/>
      <c r="I222" s="989"/>
      <c r="J222" s="991"/>
    </row>
    <row r="223" spans="2:10" ht="13">
      <c r="B223" s="986" t="s">
        <v>909</v>
      </c>
      <c r="C223" s="987"/>
      <c r="D223" s="988"/>
      <c r="E223" s="989"/>
      <c r="F223" s="990">
        <v>0</v>
      </c>
      <c r="G223" s="989"/>
      <c r="H223" s="989"/>
      <c r="I223" s="989"/>
      <c r="J223" s="991"/>
    </row>
    <row r="224" spans="2:10" ht="17.25" customHeight="1">
      <c r="B224" s="992" t="s">
        <v>910</v>
      </c>
      <c r="C224" s="987"/>
      <c r="D224" s="988"/>
      <c r="E224" s="989">
        <f>F224+G224+H224+I224</f>
        <v>-4561720.8665741263</v>
      </c>
      <c r="F224" s="989">
        <f>F223*F218</f>
        <v>0</v>
      </c>
      <c r="G224" s="989">
        <f>G218*G222</f>
        <v>0</v>
      </c>
      <c r="H224" s="989">
        <f>H218*H221</f>
        <v>-4561720.8665741263</v>
      </c>
      <c r="I224" s="989">
        <f>I220*I218</f>
        <v>0</v>
      </c>
      <c r="J224" s="991"/>
    </row>
    <row r="225" spans="2:10" ht="12.75" customHeight="1">
      <c r="B225" s="1025"/>
      <c r="C225" s="1027"/>
      <c r="D225" s="1027"/>
      <c r="E225" s="1027"/>
      <c r="F225" s="1027"/>
      <c r="G225" s="1027"/>
      <c r="H225" s="1027"/>
      <c r="I225" s="1027"/>
      <c r="J225" s="1027"/>
    </row>
    <row r="226" spans="2:10" ht="13">
      <c r="B226" s="931"/>
      <c r="C226" s="931"/>
      <c r="D226" s="931"/>
      <c r="E226" s="931"/>
      <c r="F226" s="931"/>
      <c r="G226" s="931"/>
      <c r="H226" s="931"/>
      <c r="I226" s="931"/>
      <c r="J226" s="931"/>
    </row>
    <row r="227" spans="2:10" ht="13">
      <c r="B227" s="931" t="s">
        <v>799</v>
      </c>
      <c r="C227" s="968"/>
      <c r="D227" s="968"/>
      <c r="E227" s="931" t="s">
        <v>800</v>
      </c>
      <c r="F227" s="931" t="s">
        <v>801</v>
      </c>
      <c r="G227" s="931" t="s">
        <v>802</v>
      </c>
      <c r="H227" s="931" t="s">
        <v>962</v>
      </c>
      <c r="I227" s="931" t="s">
        <v>804</v>
      </c>
      <c r="J227" s="931" t="s">
        <v>805</v>
      </c>
    </row>
    <row r="228" spans="2:10" ht="13">
      <c r="B228" s="964"/>
      <c r="C228" s="968"/>
      <c r="D228" s="968"/>
      <c r="E228" s="931"/>
      <c r="F228" s="931" t="s">
        <v>972</v>
      </c>
      <c r="G228" s="931" t="s">
        <v>363</v>
      </c>
      <c r="H228" s="931"/>
      <c r="I228" s="931"/>
      <c r="J228" s="968"/>
    </row>
    <row r="229" spans="2:10" ht="13">
      <c r="B229" s="1009"/>
      <c r="C229" s="968"/>
      <c r="D229" s="968"/>
      <c r="E229" s="931"/>
      <c r="F229" s="931" t="s">
        <v>1075</v>
      </c>
      <c r="G229" s="931" t="s">
        <v>348</v>
      </c>
      <c r="H229" s="931" t="s">
        <v>360</v>
      </c>
      <c r="I229" s="931" t="s">
        <v>362</v>
      </c>
      <c r="J229" s="968"/>
    </row>
    <row r="230" spans="2:10" ht="13">
      <c r="B230" s="964" t="s">
        <v>1102</v>
      </c>
      <c r="E230" s="931" t="s">
        <v>292</v>
      </c>
      <c r="F230" s="958" t="s">
        <v>973</v>
      </c>
      <c r="G230" s="931" t="s">
        <v>361</v>
      </c>
      <c r="H230" s="931" t="s">
        <v>361</v>
      </c>
      <c r="I230" s="931" t="s">
        <v>361</v>
      </c>
      <c r="J230" s="931" t="s">
        <v>111</v>
      </c>
    </row>
    <row r="231" spans="2:10">
      <c r="B231" s="1227"/>
      <c r="C231" s="1031"/>
      <c r="D231" s="997"/>
      <c r="E231" s="1226"/>
      <c r="F231" s="1226"/>
      <c r="G231" s="1226"/>
      <c r="H231" s="1226"/>
      <c r="I231" s="1226"/>
      <c r="J231" s="1228"/>
    </row>
    <row r="232" spans="2:10">
      <c r="B232" s="1227"/>
      <c r="C232" s="1031"/>
      <c r="D232" s="997"/>
      <c r="E232" s="1226"/>
      <c r="F232" s="1226"/>
      <c r="G232" s="1226"/>
      <c r="H232" s="1226"/>
      <c r="I232" s="1226"/>
      <c r="J232" s="1228"/>
    </row>
    <row r="233" spans="2:10">
      <c r="B233" s="1227"/>
      <c r="C233" s="1031"/>
      <c r="D233" s="997"/>
      <c r="E233" s="1226"/>
      <c r="F233" s="1226"/>
      <c r="G233" s="1226"/>
      <c r="H233" s="1226"/>
      <c r="I233" s="1226"/>
      <c r="J233" s="1228"/>
    </row>
    <row r="234" spans="2:10">
      <c r="B234" s="1227"/>
      <c r="C234" s="1031"/>
      <c r="D234" s="997"/>
      <c r="E234" s="1226"/>
      <c r="F234" s="1226"/>
      <c r="G234" s="1226"/>
      <c r="H234" s="1226"/>
      <c r="I234" s="1226"/>
      <c r="J234" s="1228"/>
    </row>
    <row r="235" spans="2:10">
      <c r="B235" s="1227"/>
      <c r="C235" s="1031"/>
      <c r="D235" s="997"/>
      <c r="E235" s="1226"/>
      <c r="F235" s="1226"/>
      <c r="G235" s="1226"/>
      <c r="H235" s="1226"/>
      <c r="I235" s="1226"/>
      <c r="J235" s="1228"/>
    </row>
    <row r="236" spans="2:10">
      <c r="B236" s="1227"/>
      <c r="C236" s="1031"/>
      <c r="D236" s="997"/>
      <c r="E236" s="1226"/>
      <c r="F236" s="1226"/>
      <c r="G236" s="1226"/>
      <c r="H236" s="1226"/>
      <c r="I236" s="1226"/>
      <c r="J236" s="1228"/>
    </row>
    <row r="237" spans="2:10">
      <c r="B237" s="1227"/>
      <c r="C237" s="1031"/>
      <c r="D237" s="996"/>
      <c r="E237" s="998"/>
      <c r="F237" s="998"/>
      <c r="G237" s="998"/>
      <c r="H237" s="998"/>
      <c r="I237" s="998"/>
      <c r="J237" s="999"/>
    </row>
    <row r="238" spans="2:10" ht="13">
      <c r="B238" s="816" t="s">
        <v>1100</v>
      </c>
      <c r="C238" s="982"/>
      <c r="D238" s="1224"/>
      <c r="E238" s="1224">
        <f>SUM(E231:E237)</f>
        <v>0</v>
      </c>
      <c r="F238" s="1224">
        <f>SUM(F231:F237)</f>
        <v>0</v>
      </c>
      <c r="G238" s="1224">
        <f>SUM(G231:G237)</f>
        <v>0</v>
      </c>
      <c r="H238" s="1224">
        <f>SUM(H231:H237)</f>
        <v>0</v>
      </c>
      <c r="I238" s="1224">
        <f>SUM(I231:I237)</f>
        <v>0</v>
      </c>
      <c r="J238" s="983"/>
    </row>
    <row r="239" spans="2:10" ht="13">
      <c r="B239" s="816"/>
      <c r="C239" s="982"/>
      <c r="D239" s="982"/>
      <c r="E239" s="1224"/>
      <c r="F239" s="1224"/>
      <c r="G239" s="1224"/>
      <c r="H239" s="1224"/>
      <c r="I239" s="1224"/>
      <c r="J239" s="983"/>
    </row>
    <row r="240" spans="2:10">
      <c r="B240" s="1000" t="s">
        <v>904</v>
      </c>
      <c r="C240" s="1001"/>
      <c r="D240" s="1002"/>
      <c r="E240" s="1225"/>
      <c r="F240" s="1226"/>
      <c r="G240" s="1226"/>
      <c r="H240" s="1226"/>
      <c r="I240" s="1226"/>
      <c r="J240" s="818"/>
    </row>
    <row r="241" spans="2:10">
      <c r="B241" s="984" t="s">
        <v>905</v>
      </c>
      <c r="C241" s="985"/>
      <c r="D241" s="1002"/>
      <c r="E241" s="1225"/>
      <c r="F241" s="1226"/>
      <c r="G241" s="1226"/>
      <c r="H241" s="1226"/>
      <c r="I241" s="1226"/>
      <c r="J241" s="818"/>
    </row>
    <row r="242" spans="2:10">
      <c r="B242" s="984" t="s">
        <v>906</v>
      </c>
      <c r="C242" s="985"/>
      <c r="D242" s="1002"/>
      <c r="E242" s="1225"/>
      <c r="F242" s="1226"/>
      <c r="G242" s="1226"/>
      <c r="H242" s="1226"/>
      <c r="I242" s="1226"/>
      <c r="J242" s="818"/>
    </row>
    <row r="243" spans="2:10">
      <c r="B243" s="984" t="s">
        <v>907</v>
      </c>
      <c r="C243" s="985"/>
      <c r="D243" s="1002"/>
      <c r="E243" s="1225"/>
      <c r="F243" s="1226"/>
      <c r="G243" s="1226"/>
      <c r="H243" s="1226"/>
      <c r="I243" s="1226"/>
      <c r="J243" s="818"/>
    </row>
    <row r="244" spans="2:10" ht="5.15" customHeight="1">
      <c r="B244" s="817"/>
      <c r="C244" s="981"/>
      <c r="D244" s="982"/>
      <c r="E244" s="1224"/>
      <c r="F244" s="1224"/>
      <c r="G244" s="1224"/>
      <c r="H244" s="1224"/>
      <c r="I244" s="1224"/>
      <c r="J244" s="983"/>
    </row>
    <row r="245" spans="2:10" ht="13">
      <c r="B245" s="1003" t="s">
        <v>1101</v>
      </c>
      <c r="C245" s="1004"/>
      <c r="D245" s="982"/>
      <c r="E245" s="1224">
        <f>SUM(E240:E243)+E238</f>
        <v>0</v>
      </c>
      <c r="F245" s="1224">
        <f>SUM(F240:F243)+F238</f>
        <v>0</v>
      </c>
      <c r="G245" s="1224">
        <f>SUM(G240:G243)+G238</f>
        <v>0</v>
      </c>
      <c r="H245" s="1224">
        <f>SUM(H240:H243)+H238</f>
        <v>0</v>
      </c>
      <c r="I245" s="1224">
        <f>SUM(I240:I243)+I238</f>
        <v>0</v>
      </c>
      <c r="J245" s="983"/>
    </row>
    <row r="246" spans="2:10" ht="13">
      <c r="B246" s="1005"/>
      <c r="C246" s="1006"/>
      <c r="D246" s="1006"/>
      <c r="E246" s="989"/>
      <c r="F246" s="1224"/>
      <c r="G246" s="1224"/>
      <c r="H246" s="1224"/>
      <c r="I246" s="1224"/>
      <c r="J246" s="991"/>
    </row>
    <row r="247" spans="2:10" ht="13">
      <c r="B247" s="1007" t="s">
        <v>266</v>
      </c>
      <c r="C247" s="1008"/>
      <c r="D247" s="988"/>
      <c r="E247" s="989"/>
      <c r="F247" s="989"/>
      <c r="G247" s="989"/>
      <c r="H247" s="989"/>
      <c r="I247" s="990">
        <v>0.15220477644183125</v>
      </c>
      <c r="J247" s="991"/>
    </row>
    <row r="248" spans="2:10" ht="13">
      <c r="B248" s="986" t="s">
        <v>135</v>
      </c>
      <c r="C248" s="987"/>
      <c r="D248" s="988"/>
      <c r="E248" s="989"/>
      <c r="F248" s="989"/>
      <c r="G248" s="989"/>
      <c r="H248" s="990">
        <v>0.2308685932545676</v>
      </c>
      <c r="I248" s="989"/>
      <c r="J248" s="991"/>
    </row>
    <row r="249" spans="2:10" ht="13">
      <c r="B249" s="986" t="s">
        <v>908</v>
      </c>
      <c r="C249" s="987"/>
      <c r="D249" s="988"/>
      <c r="E249" s="989"/>
      <c r="F249" s="989"/>
      <c r="G249" s="990">
        <v>1</v>
      </c>
      <c r="H249" s="989"/>
      <c r="I249" s="989"/>
      <c r="J249" s="991"/>
    </row>
    <row r="250" spans="2:10" ht="13">
      <c r="B250" s="986" t="s">
        <v>909</v>
      </c>
      <c r="C250" s="987"/>
      <c r="D250" s="988"/>
      <c r="E250" s="989"/>
      <c r="F250" s="990">
        <v>0</v>
      </c>
      <c r="G250" s="989"/>
      <c r="H250" s="989"/>
      <c r="I250" s="989"/>
      <c r="J250" s="991"/>
    </row>
    <row r="251" spans="2:10" ht="13">
      <c r="B251" s="992" t="s">
        <v>910</v>
      </c>
      <c r="C251" s="987"/>
      <c r="D251" s="988"/>
      <c r="E251" s="989">
        <f>F251+G251+H251+I251</f>
        <v>0</v>
      </c>
      <c r="F251" s="989">
        <f>F250*F245</f>
        <v>0</v>
      </c>
      <c r="G251" s="989">
        <f>G245*G249</f>
        <v>0</v>
      </c>
      <c r="H251" s="989">
        <f>H245*H248</f>
        <v>0</v>
      </c>
      <c r="I251" s="989">
        <f>I247*I245</f>
        <v>0</v>
      </c>
      <c r="J251" s="991"/>
    </row>
    <row r="252" spans="2:10" ht="13">
      <c r="B252" s="993"/>
      <c r="E252" s="962"/>
      <c r="F252" s="962"/>
      <c r="G252" s="962"/>
      <c r="H252" s="962"/>
      <c r="I252" s="962"/>
      <c r="J252" s="994"/>
    </row>
    <row r="253" spans="2:10" ht="13">
      <c r="B253" s="993"/>
      <c r="E253" s="962"/>
      <c r="F253" s="962"/>
      <c r="G253" s="962"/>
      <c r="H253" s="962"/>
      <c r="I253" s="962"/>
      <c r="J253" s="994"/>
    </row>
    <row r="254" spans="2:10" ht="13">
      <c r="B254" s="931"/>
      <c r="C254" s="931"/>
      <c r="D254" s="931"/>
      <c r="E254" s="931"/>
      <c r="F254" s="931"/>
      <c r="G254" s="931"/>
      <c r="H254" s="931"/>
      <c r="I254" s="931"/>
      <c r="J254" s="931"/>
    </row>
    <row r="255" spans="2:10" ht="13">
      <c r="B255" s="931" t="s">
        <v>799</v>
      </c>
      <c r="C255" s="968"/>
      <c r="D255" s="968"/>
      <c r="E255" s="931" t="s">
        <v>800</v>
      </c>
      <c r="F255" s="931" t="s">
        <v>801</v>
      </c>
      <c r="G255" s="931" t="s">
        <v>802</v>
      </c>
      <c r="H255" s="931" t="s">
        <v>962</v>
      </c>
      <c r="I255" s="931" t="s">
        <v>804</v>
      </c>
      <c r="J255" s="931" t="s">
        <v>805</v>
      </c>
    </row>
    <row r="256" spans="2:10" ht="13">
      <c r="B256" s="964"/>
      <c r="C256" s="968"/>
      <c r="D256" s="968"/>
      <c r="E256" s="931"/>
      <c r="F256" s="931" t="s">
        <v>972</v>
      </c>
      <c r="G256" s="931" t="s">
        <v>363</v>
      </c>
      <c r="H256" s="931"/>
      <c r="I256" s="931"/>
      <c r="J256" s="968"/>
    </row>
    <row r="257" spans="2:11" ht="13">
      <c r="B257" s="1009"/>
      <c r="C257" s="968"/>
      <c r="D257" s="968"/>
      <c r="E257" s="931"/>
      <c r="F257" s="931" t="s">
        <v>1075</v>
      </c>
      <c r="G257" s="931" t="s">
        <v>348</v>
      </c>
      <c r="H257" s="931" t="s">
        <v>360</v>
      </c>
      <c r="I257" s="931" t="s">
        <v>362</v>
      </c>
      <c r="J257" s="968"/>
    </row>
    <row r="258" spans="2:11" ht="13">
      <c r="B258" s="964" t="s">
        <v>1102</v>
      </c>
      <c r="E258" s="931" t="s">
        <v>292</v>
      </c>
      <c r="F258" s="958" t="s">
        <v>973</v>
      </c>
      <c r="G258" s="931" t="s">
        <v>361</v>
      </c>
      <c r="H258" s="931" t="s">
        <v>361</v>
      </c>
      <c r="I258" s="931" t="s">
        <v>361</v>
      </c>
      <c r="J258" s="931" t="s">
        <v>111</v>
      </c>
    </row>
    <row r="259" spans="2:11">
      <c r="B259" s="988" t="s">
        <v>1103</v>
      </c>
      <c r="C259" s="988"/>
      <c r="D259" s="988"/>
      <c r="E259" s="1224">
        <f>SUM(F259:I259)</f>
        <v>-175106103.59053013</v>
      </c>
      <c r="F259" s="989">
        <f>F211</f>
        <v>-155347154.12812257</v>
      </c>
      <c r="G259" s="989">
        <f>G211</f>
        <v>0</v>
      </c>
      <c r="H259" s="989">
        <f>H211</f>
        <v>-19758949.462407552</v>
      </c>
      <c r="I259" s="989">
        <f>I211</f>
        <v>0</v>
      </c>
      <c r="J259" s="991"/>
    </row>
    <row r="260" spans="2:11">
      <c r="B260" s="988" t="s">
        <v>1102</v>
      </c>
      <c r="C260" s="988"/>
      <c r="D260" s="988"/>
      <c r="E260" s="1224">
        <f>SUM(F260:I260)</f>
        <v>0</v>
      </c>
      <c r="F260" s="989">
        <f>F238</f>
        <v>0</v>
      </c>
      <c r="G260" s="989">
        <f>G238</f>
        <v>0</v>
      </c>
      <c r="H260" s="989">
        <f>H238</f>
        <v>0</v>
      </c>
      <c r="I260" s="989">
        <f>I238</f>
        <v>0</v>
      </c>
      <c r="J260" s="991"/>
    </row>
    <row r="261" spans="2:11" ht="13">
      <c r="B261" s="816" t="s">
        <v>1456</v>
      </c>
      <c r="C261" s="988"/>
      <c r="D261" s="988"/>
      <c r="E261" s="989">
        <f>E259+E260</f>
        <v>-175106103.59053013</v>
      </c>
      <c r="F261" s="989">
        <f>F259+F260</f>
        <v>-155347154.12812257</v>
      </c>
      <c r="G261" s="989">
        <f>G259+G260</f>
        <v>0</v>
      </c>
      <c r="H261" s="989">
        <f>H259+H260</f>
        <v>-19758949.462407552</v>
      </c>
      <c r="I261" s="989">
        <f>I259+I260</f>
        <v>0</v>
      </c>
      <c r="J261" s="991"/>
    </row>
    <row r="262" spans="2:11" ht="13">
      <c r="B262" s="993"/>
      <c r="E262" s="962"/>
      <c r="F262" s="962"/>
      <c r="G262" s="962"/>
      <c r="H262" s="962"/>
      <c r="I262" s="962"/>
      <c r="J262" s="994"/>
    </row>
    <row r="263" spans="2:11" s="968" customFormat="1" ht="13">
      <c r="B263" s="964" t="s">
        <v>365</v>
      </c>
      <c r="E263" s="1474"/>
      <c r="G263" s="1014"/>
      <c r="H263" s="1014"/>
      <c r="I263" s="1014"/>
      <c r="J263" s="1015"/>
    </row>
    <row r="264" spans="2:11" s="968" customFormat="1" ht="13">
      <c r="B264" s="1531" t="s">
        <v>980</v>
      </c>
      <c r="C264" s="1531"/>
      <c r="D264" s="1531"/>
      <c r="E264" s="1531"/>
      <c r="F264" s="1531"/>
      <c r="G264" s="1531"/>
      <c r="H264" s="1531"/>
      <c r="I264" s="1531"/>
      <c r="J264" s="1015"/>
    </row>
    <row r="265" spans="2:11" s="968" customFormat="1" ht="13">
      <c r="B265" s="1024" t="s">
        <v>964</v>
      </c>
      <c r="G265" s="1014"/>
      <c r="H265" s="1014"/>
      <c r="I265" s="1014"/>
      <c r="J265" s="1015"/>
    </row>
    <row r="266" spans="2:11" s="968" customFormat="1" ht="13">
      <c r="B266" s="1024" t="s">
        <v>965</v>
      </c>
      <c r="G266" s="1014"/>
      <c r="H266" s="1014"/>
      <c r="I266" s="1014"/>
      <c r="J266" s="1015"/>
    </row>
    <row r="267" spans="2:11" s="968" customFormat="1" ht="13">
      <c r="B267" s="1024" t="s">
        <v>966</v>
      </c>
      <c r="G267" s="1014"/>
      <c r="H267" s="1014"/>
      <c r="I267" s="1014"/>
      <c r="J267" s="1015"/>
    </row>
    <row r="268" spans="2:11" s="968" customFormat="1" ht="15.75" customHeight="1">
      <c r="B268" s="1526" t="s">
        <v>1104</v>
      </c>
      <c r="C268" s="1526"/>
      <c r="D268" s="1526"/>
      <c r="E268" s="1526"/>
      <c r="F268" s="1526"/>
      <c r="G268" s="1526"/>
      <c r="H268" s="1526"/>
      <c r="I268" s="1526"/>
      <c r="K268" s="1018"/>
    </row>
    <row r="269" spans="2:11" s="968" customFormat="1" ht="15.75" customHeight="1">
      <c r="B269" s="1526"/>
      <c r="C269" s="1526"/>
      <c r="D269" s="1526"/>
      <c r="E269" s="1526"/>
      <c r="F269" s="1526"/>
      <c r="G269" s="1526"/>
      <c r="H269" s="1526"/>
      <c r="I269" s="1526"/>
      <c r="K269" s="1018"/>
    </row>
    <row r="270" spans="2:11" s="968" customFormat="1" ht="13">
      <c r="B270" s="1017" t="s">
        <v>1105</v>
      </c>
      <c r="G270" s="1014"/>
      <c r="H270" s="1014"/>
      <c r="I270" s="1014"/>
      <c r="J270" s="1015"/>
    </row>
    <row r="271" spans="2:11" ht="12" customHeight="1">
      <c r="B271" s="1025"/>
      <c r="C271" s="1026"/>
      <c r="D271" s="1027"/>
      <c r="E271" s="1027"/>
      <c r="F271" s="1027"/>
      <c r="G271" s="1027"/>
      <c r="H271" s="1027"/>
      <c r="I271" s="1027"/>
      <c r="J271" s="1027"/>
    </row>
    <row r="272" spans="2:11" ht="12.75" customHeight="1">
      <c r="B272" s="1025"/>
      <c r="C272" s="1027"/>
      <c r="D272" s="1027"/>
      <c r="E272" s="1027"/>
      <c r="F272" s="1027"/>
      <c r="G272" s="1027"/>
      <c r="H272" s="1027"/>
      <c r="I272" s="1027"/>
      <c r="J272" s="1027"/>
    </row>
    <row r="273" spans="2:10" ht="13">
      <c r="B273" s="931" t="s">
        <v>799</v>
      </c>
      <c r="C273" s="968"/>
      <c r="D273" s="968"/>
      <c r="E273" s="931" t="s">
        <v>800</v>
      </c>
      <c r="F273" s="931" t="s">
        <v>801</v>
      </c>
      <c r="G273" s="931" t="s">
        <v>802</v>
      </c>
      <c r="H273" s="931" t="s">
        <v>962</v>
      </c>
      <c r="I273" s="931" t="s">
        <v>804</v>
      </c>
      <c r="J273" s="931" t="s">
        <v>805</v>
      </c>
    </row>
    <row r="274" spans="2:10" ht="13">
      <c r="B274" s="964"/>
      <c r="C274" s="968"/>
      <c r="D274" s="968"/>
      <c r="E274" s="931"/>
      <c r="F274" s="931" t="s">
        <v>972</v>
      </c>
      <c r="G274" s="931" t="s">
        <v>363</v>
      </c>
      <c r="H274" s="931"/>
      <c r="I274" s="931"/>
      <c r="J274" s="968"/>
    </row>
    <row r="275" spans="2:10" ht="13">
      <c r="B275" s="1009"/>
      <c r="C275" s="968"/>
      <c r="D275" s="968"/>
      <c r="E275" s="931"/>
      <c r="F275" s="931" t="s">
        <v>1075</v>
      </c>
      <c r="G275" s="931" t="s">
        <v>348</v>
      </c>
      <c r="H275" s="931" t="s">
        <v>360</v>
      </c>
      <c r="I275" s="931" t="s">
        <v>362</v>
      </c>
      <c r="J275" s="968"/>
    </row>
    <row r="276" spans="2:10" ht="13">
      <c r="B276" s="964" t="s">
        <v>1114</v>
      </c>
      <c r="E276" s="931" t="s">
        <v>292</v>
      </c>
      <c r="F276" s="958" t="s">
        <v>973</v>
      </c>
      <c r="G276" s="931" t="s">
        <v>361</v>
      </c>
      <c r="H276" s="931" t="s">
        <v>361</v>
      </c>
      <c r="I276" s="931" t="s">
        <v>361</v>
      </c>
      <c r="J276" s="931" t="s">
        <v>111</v>
      </c>
    </row>
    <row r="277" spans="2:10">
      <c r="B277" s="1227"/>
      <c r="C277" s="995"/>
      <c r="D277" s="997"/>
      <c r="E277" s="1226"/>
      <c r="F277" s="1226"/>
      <c r="G277" s="1226"/>
      <c r="H277" s="1226"/>
      <c r="I277" s="1226"/>
      <c r="J277" s="1234"/>
    </row>
    <row r="278" spans="2:10" ht="25">
      <c r="B278" s="1235" t="s">
        <v>1107</v>
      </c>
      <c r="C278" s="1028"/>
      <c r="D278" s="1029"/>
      <c r="E278" s="1236">
        <f>F278+G278+H278</f>
        <v>-2375999</v>
      </c>
      <c r="F278" s="1236">
        <f>-2152155+331483</f>
        <v>-1820672</v>
      </c>
      <c r="G278" s="1236">
        <v>0</v>
      </c>
      <c r="H278" s="1236">
        <f>-583580+28253</f>
        <v>-555327</v>
      </c>
      <c r="I278" s="1236">
        <v>0</v>
      </c>
      <c r="J278" s="1234" t="s">
        <v>1315</v>
      </c>
    </row>
    <row r="279" spans="2:10">
      <c r="B279" s="1227"/>
      <c r="C279" s="995"/>
      <c r="D279" s="997"/>
      <c r="E279" s="1226"/>
      <c r="F279" s="1226"/>
      <c r="G279" s="1226"/>
      <c r="H279" s="1226"/>
      <c r="I279" s="1226"/>
      <c r="J279" s="1234"/>
    </row>
    <row r="280" spans="2:10">
      <c r="B280" s="1227"/>
      <c r="C280" s="995"/>
      <c r="D280" s="997"/>
      <c r="E280" s="1226"/>
      <c r="F280" s="1226"/>
      <c r="G280" s="1226"/>
      <c r="H280" s="1226"/>
      <c r="I280" s="1226"/>
      <c r="J280" s="1234"/>
    </row>
    <row r="281" spans="2:10">
      <c r="B281" s="1227"/>
      <c r="C281" s="995"/>
      <c r="D281" s="997"/>
      <c r="E281" s="1226"/>
      <c r="F281" s="1226"/>
      <c r="G281" s="1226"/>
      <c r="H281" s="1226"/>
      <c r="I281" s="1226"/>
      <c r="J281" s="1234"/>
    </row>
    <row r="282" spans="2:10">
      <c r="B282" s="1227"/>
      <c r="C282" s="995"/>
      <c r="D282" s="997"/>
      <c r="E282" s="1226"/>
      <c r="F282" s="1226"/>
      <c r="G282" s="1226"/>
      <c r="H282" s="1226"/>
      <c r="I282" s="1226"/>
      <c r="J282" s="1234"/>
    </row>
    <row r="283" spans="2:10">
      <c r="B283" s="1227"/>
      <c r="C283" s="995"/>
      <c r="D283" s="997"/>
      <c r="E283" s="1226"/>
      <c r="F283" s="1226"/>
      <c r="G283" s="1226"/>
      <c r="H283" s="1226"/>
      <c r="I283" s="1226"/>
      <c r="J283" s="1234"/>
    </row>
    <row r="284" spans="2:10" ht="13">
      <c r="B284" s="816" t="s">
        <v>1458</v>
      </c>
      <c r="C284" s="1004"/>
      <c r="D284" s="982"/>
      <c r="E284" s="1224">
        <f>SUM(E277:E283)</f>
        <v>-2375999</v>
      </c>
      <c r="F284" s="1224">
        <f>SUM(F277:F283)</f>
        <v>-1820672</v>
      </c>
      <c r="G284" s="1224">
        <f>SUM(G277:G283)</f>
        <v>0</v>
      </c>
      <c r="H284" s="1224">
        <f>SUM(H277:H283)</f>
        <v>-555327</v>
      </c>
      <c r="I284" s="1224">
        <f>SUM(I277:I283)</f>
        <v>0</v>
      </c>
      <c r="J284" s="983"/>
    </row>
    <row r="285" spans="2:10" ht="13">
      <c r="B285" s="816"/>
      <c r="C285" s="982"/>
      <c r="D285" s="982"/>
      <c r="E285" s="1224"/>
      <c r="F285" s="1224"/>
      <c r="G285" s="1224"/>
      <c r="H285" s="1224"/>
      <c r="I285" s="1224"/>
      <c r="J285" s="983"/>
    </row>
    <row r="286" spans="2:10">
      <c r="B286" s="984" t="s">
        <v>1108</v>
      </c>
      <c r="C286" s="985"/>
      <c r="D286" s="1002"/>
      <c r="E286" s="1225"/>
      <c r="F286" s="1226"/>
      <c r="G286" s="1226"/>
      <c r="H286" s="1226">
        <f>-H278</f>
        <v>555327</v>
      </c>
      <c r="I286" s="1226"/>
      <c r="J286" s="818"/>
    </row>
    <row r="287" spans="2:10" ht="5.15" customHeight="1">
      <c r="B287" s="817"/>
      <c r="C287" s="981"/>
      <c r="D287" s="982"/>
      <c r="E287" s="1224"/>
      <c r="F287" s="1224"/>
      <c r="G287" s="1224"/>
      <c r="H287" s="1224"/>
      <c r="I287" s="1224"/>
      <c r="J287" s="983"/>
    </row>
    <row r="288" spans="2:10" ht="13">
      <c r="B288" s="816" t="s">
        <v>1109</v>
      </c>
      <c r="C288" s="982"/>
      <c r="D288" s="982"/>
      <c r="E288" s="1224">
        <f>SUM(E286:E286)+E284</f>
        <v>-2375999</v>
      </c>
      <c r="F288" s="1224">
        <f>SUM(F286:F286)+F284</f>
        <v>-1820672</v>
      </c>
      <c r="G288" s="1224">
        <f>SUM(G286:G286)+G284</f>
        <v>0</v>
      </c>
      <c r="H288" s="1224">
        <f>SUM(H286:H286)+H284</f>
        <v>0</v>
      </c>
      <c r="I288" s="1224">
        <f>SUM(I286:I286)+I284</f>
        <v>0</v>
      </c>
      <c r="J288" s="983"/>
    </row>
    <row r="289" spans="2:10" ht="13">
      <c r="B289" s="816"/>
      <c r="C289" s="982"/>
      <c r="D289" s="988"/>
      <c r="E289" s="989"/>
      <c r="F289" s="1224"/>
      <c r="G289" s="1224"/>
      <c r="H289" s="1224"/>
      <c r="I289" s="1224"/>
      <c r="J289" s="991"/>
    </row>
    <row r="290" spans="2:10" ht="13">
      <c r="B290" s="986" t="s">
        <v>266</v>
      </c>
      <c r="C290" s="987"/>
      <c r="D290" s="988"/>
      <c r="E290" s="989"/>
      <c r="F290" s="989"/>
      <c r="G290" s="989"/>
      <c r="H290" s="989"/>
      <c r="I290" s="990">
        <v>0.15220477644183125</v>
      </c>
      <c r="J290" s="991"/>
    </row>
    <row r="291" spans="2:10" ht="13">
      <c r="B291" s="986" t="s">
        <v>279</v>
      </c>
      <c r="C291" s="987"/>
      <c r="D291" s="988"/>
      <c r="E291" s="989"/>
      <c r="F291" s="989"/>
      <c r="G291" s="989"/>
      <c r="H291" s="990">
        <v>0.26673414639531107</v>
      </c>
      <c r="I291" s="989"/>
      <c r="J291" s="991"/>
    </row>
    <row r="292" spans="2:10" ht="13">
      <c r="B292" s="986" t="s">
        <v>908</v>
      </c>
      <c r="C292" s="987"/>
      <c r="D292" s="988"/>
      <c r="E292" s="989"/>
      <c r="F292" s="989"/>
      <c r="G292" s="990">
        <v>1</v>
      </c>
      <c r="H292" s="989"/>
      <c r="I292" s="989"/>
      <c r="J292" s="991"/>
    </row>
    <row r="293" spans="2:10" ht="13">
      <c r="B293" s="986" t="s">
        <v>909</v>
      </c>
      <c r="C293" s="987"/>
      <c r="D293" s="988"/>
      <c r="E293" s="989"/>
      <c r="F293" s="990">
        <v>0</v>
      </c>
      <c r="G293" s="989"/>
      <c r="H293" s="989"/>
      <c r="I293" s="989"/>
      <c r="J293" s="991"/>
    </row>
    <row r="294" spans="2:10" ht="13">
      <c r="B294" s="992" t="s">
        <v>1110</v>
      </c>
      <c r="C294" s="987"/>
      <c r="D294" s="988"/>
      <c r="E294" s="989">
        <f>F294+G294+H294+I294</f>
        <v>0</v>
      </c>
      <c r="F294" s="989">
        <f>F293*F288</f>
        <v>0</v>
      </c>
      <c r="G294" s="989">
        <f>G288*G292</f>
        <v>0</v>
      </c>
      <c r="H294" s="989">
        <f>H288*H291</f>
        <v>0</v>
      </c>
      <c r="I294" s="989">
        <f>I290*I288</f>
        <v>0</v>
      </c>
      <c r="J294" s="991"/>
    </row>
    <row r="295" spans="2:10" ht="12.75" customHeight="1">
      <c r="B295" s="1025"/>
      <c r="C295" s="1027"/>
      <c r="D295" s="1027"/>
      <c r="E295" s="1027"/>
      <c r="F295" s="1027"/>
      <c r="G295" s="1027"/>
      <c r="H295" s="1027"/>
      <c r="I295" s="1027"/>
      <c r="J295" s="1027"/>
    </row>
    <row r="296" spans="2:10" ht="12.75" customHeight="1">
      <c r="B296" s="1025"/>
      <c r="C296" s="1027"/>
      <c r="D296" s="1027"/>
      <c r="E296" s="1027"/>
      <c r="F296" s="1027"/>
      <c r="G296" s="1027"/>
      <c r="H296" s="1027"/>
      <c r="I296" s="1027"/>
      <c r="J296" s="1027"/>
    </row>
    <row r="297" spans="2:10" ht="13">
      <c r="B297" s="931" t="s">
        <v>799</v>
      </c>
      <c r="C297" s="968"/>
      <c r="D297" s="968"/>
      <c r="E297" s="931" t="s">
        <v>800</v>
      </c>
      <c r="F297" s="931" t="s">
        <v>801</v>
      </c>
      <c r="G297" s="931" t="s">
        <v>802</v>
      </c>
      <c r="H297" s="931" t="s">
        <v>962</v>
      </c>
      <c r="I297" s="931" t="s">
        <v>804</v>
      </c>
      <c r="J297" s="931" t="s">
        <v>805</v>
      </c>
    </row>
    <row r="298" spans="2:10" ht="13">
      <c r="B298" s="964"/>
      <c r="C298" s="968"/>
      <c r="D298" s="968"/>
      <c r="E298" s="931"/>
      <c r="F298" s="931" t="s">
        <v>972</v>
      </c>
      <c r="G298" s="931" t="s">
        <v>363</v>
      </c>
      <c r="H298" s="931"/>
      <c r="I298" s="931"/>
      <c r="J298" s="968"/>
    </row>
    <row r="299" spans="2:10" ht="13">
      <c r="B299" s="1009"/>
      <c r="C299" s="968"/>
      <c r="D299" s="968"/>
      <c r="E299" s="931"/>
      <c r="F299" s="931" t="s">
        <v>1075</v>
      </c>
      <c r="G299" s="931" t="s">
        <v>348</v>
      </c>
      <c r="H299" s="931" t="s">
        <v>360</v>
      </c>
      <c r="I299" s="931" t="s">
        <v>362</v>
      </c>
      <c r="J299" s="968"/>
    </row>
    <row r="300" spans="2:10" ht="13">
      <c r="B300" s="964" t="s">
        <v>1115</v>
      </c>
      <c r="E300" s="931" t="s">
        <v>292</v>
      </c>
      <c r="F300" s="958" t="s">
        <v>973</v>
      </c>
      <c r="G300" s="931" t="s">
        <v>361</v>
      </c>
      <c r="H300" s="931" t="s">
        <v>361</v>
      </c>
      <c r="I300" s="931" t="s">
        <v>361</v>
      </c>
      <c r="J300" s="931" t="s">
        <v>111</v>
      </c>
    </row>
    <row r="301" spans="2:10">
      <c r="B301" s="1227"/>
      <c r="C301" s="995"/>
      <c r="D301" s="997"/>
      <c r="E301" s="1226"/>
      <c r="F301" s="1226"/>
      <c r="G301" s="1226"/>
      <c r="H301" s="1226"/>
      <c r="I301" s="1226"/>
      <c r="J301" s="1234"/>
    </row>
    <row r="302" spans="2:10" ht="50">
      <c r="B302" s="1235" t="s">
        <v>1111</v>
      </c>
      <c r="C302" s="1028"/>
      <c r="D302" s="1029"/>
      <c r="E302" s="1236">
        <f>F302+G302+H302</f>
        <v>359736</v>
      </c>
      <c r="F302" s="1236">
        <v>331483.14745691034</v>
      </c>
      <c r="G302" s="1236"/>
      <c r="H302" s="1236">
        <v>28252.852543089633</v>
      </c>
      <c r="I302" s="1236"/>
      <c r="J302" s="1234" t="s">
        <v>1316</v>
      </c>
    </row>
    <row r="303" spans="2:10">
      <c r="B303" s="1227"/>
      <c r="C303" s="995"/>
      <c r="D303" s="997"/>
      <c r="E303" s="1226"/>
      <c r="F303" s="1226"/>
      <c r="G303" s="1226"/>
      <c r="H303" s="1226"/>
      <c r="I303" s="1226"/>
      <c r="J303" s="1234"/>
    </row>
    <row r="304" spans="2:10">
      <c r="B304" s="1227"/>
      <c r="C304" s="995"/>
      <c r="D304" s="997"/>
      <c r="E304" s="1226"/>
      <c r="F304" s="1226"/>
      <c r="G304" s="1226"/>
      <c r="H304" s="1226"/>
      <c r="I304" s="1226"/>
      <c r="J304" s="1234"/>
    </row>
    <row r="305" spans="1:10">
      <c r="B305" s="1227"/>
      <c r="C305" s="995"/>
      <c r="D305" s="997"/>
      <c r="E305" s="1226"/>
      <c r="F305" s="1226"/>
      <c r="G305" s="1226"/>
      <c r="H305" s="1226"/>
      <c r="I305" s="1226"/>
      <c r="J305" s="1234"/>
    </row>
    <row r="306" spans="1:10">
      <c r="B306" s="1227"/>
      <c r="C306" s="995"/>
      <c r="D306" s="997"/>
      <c r="E306" s="1226"/>
      <c r="F306" s="1226"/>
      <c r="G306" s="1226"/>
      <c r="H306" s="1226"/>
      <c r="I306" s="1226"/>
      <c r="J306" s="1234"/>
    </row>
    <row r="307" spans="1:10">
      <c r="B307" s="1227"/>
      <c r="C307" s="995"/>
      <c r="D307" s="997"/>
      <c r="E307" s="1226"/>
      <c r="F307" s="1226"/>
      <c r="G307" s="1226"/>
      <c r="H307" s="1226"/>
      <c r="I307" s="1226"/>
      <c r="J307" s="1234"/>
    </row>
    <row r="308" spans="1:10" ht="13">
      <c r="B308" s="816" t="s">
        <v>1459</v>
      </c>
      <c r="C308" s="1030"/>
      <c r="D308" s="982"/>
      <c r="E308" s="1224">
        <f>SUM(E301:E307)</f>
        <v>359736</v>
      </c>
      <c r="F308" s="1224">
        <f>SUM(F301:F307)</f>
        <v>331483.14745691034</v>
      </c>
      <c r="G308" s="1224">
        <f>SUM(G301:G307)</f>
        <v>0</v>
      </c>
      <c r="H308" s="1224">
        <f>SUM(H301:H307)</f>
        <v>28252.852543089633</v>
      </c>
      <c r="I308" s="1224">
        <f>SUM(I301:I307)</f>
        <v>0</v>
      </c>
      <c r="J308" s="983"/>
    </row>
    <row r="309" spans="1:10" ht="13">
      <c r="B309" s="1005"/>
      <c r="C309" s="1006"/>
      <c r="D309" s="1006"/>
      <c r="E309" s="989"/>
      <c r="F309" s="1224"/>
      <c r="G309" s="1224"/>
      <c r="H309" s="1224"/>
      <c r="I309" s="1224"/>
      <c r="J309" s="991"/>
    </row>
    <row r="310" spans="1:10" ht="13">
      <c r="B310" s="1007" t="s">
        <v>266</v>
      </c>
      <c r="C310" s="1008"/>
      <c r="D310" s="988"/>
      <c r="E310" s="989"/>
      <c r="F310" s="989"/>
      <c r="G310" s="989"/>
      <c r="H310" s="989"/>
      <c r="I310" s="990">
        <v>0.15220477644183125</v>
      </c>
      <c r="J310" s="991"/>
    </row>
    <row r="311" spans="1:10" ht="13">
      <c r="B311" s="986" t="s">
        <v>279</v>
      </c>
      <c r="C311" s="987"/>
      <c r="D311" s="988"/>
      <c r="E311" s="989"/>
      <c r="F311" s="989"/>
      <c r="G311" s="989"/>
      <c r="H311" s="990">
        <v>0.26673414639531107</v>
      </c>
      <c r="I311" s="989"/>
      <c r="J311" s="991"/>
    </row>
    <row r="312" spans="1:10" ht="13">
      <c r="B312" s="986" t="s">
        <v>908</v>
      </c>
      <c r="C312" s="987"/>
      <c r="D312" s="988"/>
      <c r="E312" s="989"/>
      <c r="F312" s="989"/>
      <c r="G312" s="990">
        <v>1</v>
      </c>
      <c r="H312" s="989"/>
      <c r="I312" s="989"/>
      <c r="J312" s="991"/>
    </row>
    <row r="313" spans="1:10" ht="13">
      <c r="B313" s="986" t="s">
        <v>909</v>
      </c>
      <c r="C313" s="987"/>
      <c r="D313" s="988"/>
      <c r="E313" s="989"/>
      <c r="F313" s="990">
        <v>0</v>
      </c>
      <c r="G313" s="989"/>
      <c r="H313" s="989"/>
      <c r="I313" s="989"/>
      <c r="J313" s="991"/>
    </row>
    <row r="314" spans="1:10" ht="13">
      <c r="B314" s="992" t="s">
        <v>1112</v>
      </c>
      <c r="C314" s="987"/>
      <c r="D314" s="988"/>
      <c r="E314" s="989">
        <f>F314+G314+H314+I314</f>
        <v>7536.0005063136068</v>
      </c>
      <c r="F314" s="989">
        <f>F313*F308</f>
        <v>0</v>
      </c>
      <c r="G314" s="989">
        <f>G308*G312</f>
        <v>0</v>
      </c>
      <c r="H314" s="989">
        <f>H308*H311</f>
        <v>7536.0005063136068</v>
      </c>
      <c r="I314" s="989">
        <f>I310*I308</f>
        <v>0</v>
      </c>
      <c r="J314" s="991"/>
    </row>
    <row r="315" spans="1:10">
      <c r="G315" s="966"/>
    </row>
    <row r="317" spans="1:10" s="1241" customFormat="1" ht="15.5">
      <c r="A317" s="1237" t="s">
        <v>840</v>
      </c>
      <c r="B317" s="1238"/>
      <c r="C317" s="1238"/>
      <c r="D317" s="1239"/>
      <c r="E317" s="1239"/>
      <c r="F317" s="1240"/>
      <c r="G317" s="1239"/>
      <c r="H317" s="1239"/>
      <c r="I317" s="1239"/>
      <c r="J317" s="1239"/>
    </row>
  </sheetData>
  <mergeCells count="12">
    <mergeCell ref="B268:I269"/>
    <mergeCell ref="A1:K1"/>
    <mergeCell ref="A2:K2"/>
    <mergeCell ref="A3:K3"/>
    <mergeCell ref="B6:J6"/>
    <mergeCell ref="B24:I26"/>
    <mergeCell ref="B29:I30"/>
    <mergeCell ref="B104:I104"/>
    <mergeCell ref="B108:I109"/>
    <mergeCell ref="B173:I173"/>
    <mergeCell ref="B177:I178"/>
    <mergeCell ref="B264:I264"/>
  </mergeCells>
  <pageMargins left="0.7" right="0.7" top="0.75" bottom="0.75" header="0.3" footer="0.3"/>
  <pageSetup scale="36" orientation="landscape" r:id="rId1"/>
  <rowBreaks count="3" manualBreakCount="3">
    <brk id="66" max="11" man="1"/>
    <brk id="171" max="11" man="1"/>
    <brk id="295" max="11" man="1"/>
  </rowBreaks>
  <ignoredErrors>
    <ignoredError sqref="H127:I12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5B46-5607-4618-87D0-39E4674077BE}">
  <dimension ref="A1:T267"/>
  <sheetViews>
    <sheetView topLeftCell="E151" zoomScale="80" zoomScaleNormal="80" workbookViewId="0">
      <selection activeCell="P28" sqref="P28"/>
    </sheetView>
  </sheetViews>
  <sheetFormatPr defaultColWidth="9.1796875" defaultRowHeight="12.5"/>
  <cols>
    <col min="1" max="1" width="5.7265625" style="1190" customWidth="1"/>
    <col min="2" max="2" width="11" style="1196" customWidth="1"/>
    <col min="3" max="3" width="5.7265625" style="1190" customWidth="1"/>
    <col min="4" max="4" width="32.1796875" style="1190" customWidth="1"/>
    <col min="5" max="5" width="14.453125" style="1190" customWidth="1"/>
    <col min="6" max="6" width="21.81640625" style="1190" customWidth="1"/>
    <col min="7" max="7" width="15.1796875" style="1190" customWidth="1"/>
    <col min="8" max="8" width="20.81640625" style="1190" bestFit="1" customWidth="1"/>
    <col min="9" max="9" width="3.81640625" style="1190" customWidth="1"/>
    <col min="10" max="10" width="27.453125" style="1190" customWidth="1"/>
    <col min="11" max="11" width="21.81640625" style="1190" customWidth="1"/>
    <col min="12" max="12" width="25.1796875" style="1190" customWidth="1"/>
    <col min="13" max="13" width="3.81640625" style="1190" customWidth="1"/>
    <col min="14" max="14" width="19.7265625" style="1190" customWidth="1"/>
    <col min="15" max="15" width="25.453125" style="1190" customWidth="1"/>
    <col min="16" max="16" width="24.7265625" style="1190" customWidth="1"/>
    <col min="17" max="17" width="25" style="1190" customWidth="1"/>
    <col min="18" max="18" width="26.54296875" style="1190" customWidth="1"/>
    <col min="19" max="19" width="3.81640625" style="1190" customWidth="1"/>
    <col min="20" max="20" width="12.7265625" style="1190" bestFit="1" customWidth="1"/>
    <col min="21" max="16384" width="9.1796875" style="1190"/>
  </cols>
  <sheetData>
    <row r="1" spans="1:19" ht="15.5">
      <c r="A1" s="1521" t="s">
        <v>686</v>
      </c>
      <c r="B1" s="1521"/>
      <c r="C1" s="1521"/>
      <c r="D1" s="1521"/>
      <c r="E1" s="1521"/>
      <c r="F1" s="1521"/>
      <c r="G1" s="1521"/>
      <c r="H1" s="1521"/>
      <c r="I1" s="1521"/>
      <c r="J1" s="1521"/>
      <c r="K1" s="1521"/>
      <c r="L1" s="1521"/>
      <c r="M1" s="1521"/>
      <c r="N1" s="1521"/>
      <c r="O1" s="1521"/>
      <c r="P1" s="1521"/>
      <c r="Q1" s="1521"/>
      <c r="R1" s="1521"/>
      <c r="S1" s="1189"/>
    </row>
    <row r="2" spans="1:19" ht="15.5">
      <c r="A2" s="1521" t="s">
        <v>1116</v>
      </c>
      <c r="B2" s="1521"/>
      <c r="C2" s="1521"/>
      <c r="D2" s="1521"/>
      <c r="E2" s="1521"/>
      <c r="F2" s="1521"/>
      <c r="G2" s="1521"/>
      <c r="H2" s="1521"/>
      <c r="I2" s="1521"/>
      <c r="J2" s="1521"/>
      <c r="K2" s="1521"/>
      <c r="L2" s="1521"/>
      <c r="M2" s="1521"/>
      <c r="N2" s="1521"/>
      <c r="O2" s="1521"/>
      <c r="P2" s="1521"/>
      <c r="Q2" s="1521"/>
      <c r="R2" s="1521"/>
      <c r="S2" s="1189"/>
    </row>
    <row r="3" spans="1:19" ht="15.5">
      <c r="A3" s="1521" t="s">
        <v>1117</v>
      </c>
      <c r="B3" s="1521"/>
      <c r="C3" s="1521"/>
      <c r="D3" s="1521"/>
      <c r="E3" s="1521"/>
      <c r="F3" s="1521"/>
      <c r="G3" s="1521"/>
      <c r="H3" s="1521"/>
      <c r="I3" s="1521"/>
      <c r="J3" s="1521"/>
      <c r="K3" s="1521"/>
      <c r="L3" s="1521"/>
      <c r="M3" s="1521"/>
      <c r="N3" s="1521"/>
      <c r="O3" s="1521"/>
      <c r="P3" s="1521"/>
      <c r="Q3" s="1521"/>
      <c r="R3" s="1521"/>
      <c r="S3" s="1189"/>
    </row>
    <row r="4" spans="1:19" ht="15.5">
      <c r="A4" s="1242"/>
      <c r="B4" s="1333"/>
      <c r="C4" s="1242"/>
      <c r="D4" s="1192"/>
      <c r="E4" s="1192"/>
      <c r="F4" s="1192"/>
      <c r="G4" s="1192"/>
      <c r="H4" s="1192"/>
      <c r="I4" s="1192"/>
      <c r="J4" s="1192"/>
      <c r="K4" s="1192"/>
      <c r="L4" s="1192"/>
      <c r="M4" s="1192"/>
      <c r="N4" s="1192"/>
      <c r="O4" s="1192"/>
      <c r="P4" s="1192"/>
      <c r="Q4" s="1192"/>
      <c r="R4" s="1192"/>
    </row>
    <row r="5" spans="1:19" ht="15.5">
      <c r="A5" s="1192"/>
      <c r="B5" s="1193"/>
      <c r="C5" s="1192"/>
      <c r="D5" s="1192" t="s">
        <v>1006</v>
      </c>
      <c r="E5" s="1194" t="s">
        <v>1593</v>
      </c>
      <c r="F5" s="1195"/>
      <c r="G5" s="1195"/>
      <c r="H5" s="1195"/>
      <c r="I5" s="1192"/>
      <c r="J5" s="1192"/>
      <c r="K5" s="1192"/>
      <c r="L5" s="1192"/>
      <c r="M5" s="1192"/>
      <c r="N5" s="1192"/>
      <c r="O5" s="1192"/>
      <c r="P5" s="1192"/>
      <c r="Q5" s="1192"/>
      <c r="R5" s="1192"/>
    </row>
    <row r="6" spans="1:19" ht="13">
      <c r="D6" s="1189"/>
    </row>
    <row r="7" spans="1:19" ht="15.75" customHeight="1">
      <c r="B7" s="1532" t="s">
        <v>798</v>
      </c>
      <c r="C7" s="1532"/>
      <c r="D7" s="1532"/>
      <c r="E7" s="1532"/>
      <c r="F7" s="1532"/>
      <c r="G7" s="1532"/>
      <c r="H7" s="1532"/>
      <c r="I7" s="1532"/>
      <c r="J7" s="1532"/>
      <c r="K7" s="1532"/>
      <c r="L7" s="1532"/>
      <c r="M7" s="1532"/>
      <c r="N7" s="1532"/>
      <c r="O7" s="1532"/>
      <c r="P7" s="1532"/>
      <c r="Q7" s="1532"/>
      <c r="R7" s="1532"/>
    </row>
    <row r="8" spans="1:19" ht="13">
      <c r="D8" s="1189"/>
    </row>
    <row r="9" spans="1:19" ht="13">
      <c r="D9" s="1189" t="s">
        <v>1118</v>
      </c>
      <c r="J9" s="1522"/>
      <c r="K9" s="1522"/>
      <c r="L9" s="1522"/>
      <c r="N9" s="1522"/>
      <c r="O9" s="1522"/>
      <c r="P9" s="1522"/>
      <c r="Q9" s="1522"/>
      <c r="R9" s="1522"/>
    </row>
    <row r="10" spans="1:19" ht="13">
      <c r="D10" s="1515" t="s">
        <v>1008</v>
      </c>
      <c r="E10" s="1516"/>
      <c r="F10" s="1516"/>
      <c r="G10" s="1516"/>
      <c r="H10" s="1517"/>
      <c r="I10" s="1197"/>
      <c r="J10" s="1518" t="s">
        <v>1119</v>
      </c>
      <c r="K10" s="1519"/>
      <c r="L10" s="1520"/>
      <c r="M10" s="1197"/>
      <c r="N10" s="1518" t="s">
        <v>1120</v>
      </c>
      <c r="O10" s="1519"/>
      <c r="P10" s="1519"/>
      <c r="Q10" s="1519"/>
      <c r="R10" s="1520"/>
      <c r="S10" s="1197"/>
    </row>
    <row r="11" spans="1:19" ht="13">
      <c r="D11" s="1198" t="s">
        <v>799</v>
      </c>
      <c r="E11" s="1198" t="s">
        <v>800</v>
      </c>
      <c r="F11" s="1198" t="s">
        <v>961</v>
      </c>
      <c r="G11" s="1198" t="s">
        <v>802</v>
      </c>
      <c r="H11" s="1198" t="s">
        <v>962</v>
      </c>
      <c r="I11" s="1197"/>
      <c r="J11" s="1198" t="s">
        <v>804</v>
      </c>
      <c r="K11" s="1198" t="s">
        <v>805</v>
      </c>
      <c r="L11" s="1198" t="s">
        <v>1011</v>
      </c>
      <c r="M11" s="1197"/>
      <c r="N11" s="1198" t="s">
        <v>882</v>
      </c>
      <c r="O11" s="1198" t="s">
        <v>1012</v>
      </c>
      <c r="P11" s="1198" t="s">
        <v>884</v>
      </c>
      <c r="Q11" s="1198" t="s">
        <v>1013</v>
      </c>
      <c r="R11" s="1198" t="s">
        <v>1014</v>
      </c>
      <c r="S11" s="1197"/>
    </row>
    <row r="12" spans="1:19" ht="63" customHeight="1">
      <c r="B12" s="1199" t="s">
        <v>898</v>
      </c>
      <c r="D12" s="1200" t="s">
        <v>501</v>
      </c>
      <c r="E12" s="1200" t="s">
        <v>1015</v>
      </c>
      <c r="F12" s="1200" t="s">
        <v>1016</v>
      </c>
      <c r="G12" s="1200" t="s">
        <v>1017</v>
      </c>
      <c r="H12" s="1200" t="s">
        <v>1018</v>
      </c>
      <c r="I12" s="1336"/>
      <c r="J12" s="1200" t="s">
        <v>1019</v>
      </c>
      <c r="K12" s="1200" t="s">
        <v>1020</v>
      </c>
      <c r="L12" s="1200" t="s">
        <v>1021</v>
      </c>
      <c r="M12" s="1336"/>
      <c r="N12" s="1200" t="s">
        <v>1022</v>
      </c>
      <c r="O12" s="1200" t="s">
        <v>1023</v>
      </c>
      <c r="P12" s="1200" t="s">
        <v>1024</v>
      </c>
      <c r="Q12" s="1200" t="s">
        <v>1025</v>
      </c>
      <c r="R12" s="1200" t="s">
        <v>1026</v>
      </c>
      <c r="S12" s="1336"/>
    </row>
    <row r="13" spans="1:19">
      <c r="E13" s="1336"/>
      <c r="F13" s="1336"/>
      <c r="G13" s="1336"/>
      <c r="H13" s="1336"/>
      <c r="I13" s="1336"/>
      <c r="J13" s="1336"/>
      <c r="K13" s="1336"/>
      <c r="L13" s="1336"/>
      <c r="M13" s="1336"/>
      <c r="N13" s="1336"/>
      <c r="O13" s="1336"/>
      <c r="P13" s="1336"/>
      <c r="Q13" s="1336"/>
      <c r="R13" s="1336"/>
      <c r="S13" s="1336"/>
    </row>
    <row r="14" spans="1:19">
      <c r="B14" s="1196">
        <v>1</v>
      </c>
      <c r="D14" s="1190" t="s">
        <v>1121</v>
      </c>
      <c r="E14" s="1336"/>
      <c r="F14" s="1336"/>
      <c r="G14" s="1336"/>
      <c r="H14" s="1336"/>
      <c r="I14" s="1336"/>
      <c r="J14" s="939" t="s">
        <v>1566</v>
      </c>
      <c r="K14" s="1336"/>
      <c r="L14" s="939">
        <f>'1E - EDIT Amortization'!M88</f>
        <v>0</v>
      </c>
      <c r="M14" s="1336"/>
      <c r="N14" s="939" t="s">
        <v>1566</v>
      </c>
      <c r="O14" s="1336"/>
      <c r="P14" s="1336"/>
      <c r="Q14" s="1336"/>
      <c r="R14" s="939">
        <v>0</v>
      </c>
      <c r="S14" s="1336"/>
    </row>
    <row r="15" spans="1:19">
      <c r="E15" s="1336"/>
      <c r="F15" s="1336"/>
      <c r="G15" s="1336"/>
      <c r="H15" s="1336"/>
      <c r="I15" s="1336"/>
      <c r="J15" s="1336"/>
      <c r="K15" s="1336"/>
      <c r="L15" s="1336"/>
      <c r="M15" s="1336"/>
      <c r="N15" s="1336"/>
      <c r="O15" s="1336"/>
      <c r="P15" s="1336"/>
      <c r="Q15" s="1336"/>
      <c r="R15" s="1336"/>
      <c r="S15" s="1336"/>
    </row>
    <row r="16" spans="1:19">
      <c r="B16" s="1196">
        <f>B14+1</f>
        <v>2</v>
      </c>
      <c r="D16" s="1201" t="s">
        <v>1028</v>
      </c>
      <c r="E16" s="939">
        <v>31</v>
      </c>
      <c r="F16" s="940">
        <v>0</v>
      </c>
      <c r="G16" s="940">
        <v>214</v>
      </c>
      <c r="H16" s="941">
        <f t="shared" ref="H16:H27" si="0">IF(F16=0,0.5,F16/G16)</f>
        <v>0.5</v>
      </c>
      <c r="I16" s="942"/>
      <c r="J16" s="939">
        <f>'1E - EDIT Amortization'!$O$88/12</f>
        <v>0</v>
      </c>
      <c r="K16" s="943">
        <f t="shared" ref="K16:K27" si="1">+J16*H16</f>
        <v>0</v>
      </c>
      <c r="L16" s="943">
        <f>+K16+L14</f>
        <v>0</v>
      </c>
      <c r="M16" s="942"/>
      <c r="N16" s="939">
        <v>0</v>
      </c>
      <c r="O16" s="943">
        <f>IF($D$237="True-Up Adjustment",N16-J16,0)</f>
        <v>0</v>
      </c>
      <c r="P16" s="943">
        <f>IF($D$237="True-Up Adjustment",IF(AND(J16&gt;=0,N16&gt;=0),IF(O16&gt;=0,K16+O16,N16/J16*K16),IF(AND(J16&lt;0,N16&lt;0),IF(O16&lt;0,K16+O16,N16/J16*K16),0)),0)</f>
        <v>0</v>
      </c>
      <c r="Q16" s="943">
        <f t="shared" ref="Q16:Q27" si="2">IF(AND(J16&gt;=0,N16&lt;0),N16,IF(AND(J16&lt;0,N16&gt;=0),N16,0))</f>
        <v>0</v>
      </c>
      <c r="R16" s="943">
        <f>+Q16+R14</f>
        <v>0</v>
      </c>
      <c r="S16" s="942"/>
    </row>
    <row r="17" spans="2:19">
      <c r="B17" s="1196">
        <f t="shared" ref="B17:B28" si="3">+B16+1</f>
        <v>3</v>
      </c>
      <c r="D17" s="1201" t="s">
        <v>1029</v>
      </c>
      <c r="E17" s="939">
        <v>28</v>
      </c>
      <c r="F17" s="940">
        <v>0</v>
      </c>
      <c r="G17" s="940">
        <f t="shared" ref="G17:G27" si="4">G16</f>
        <v>214</v>
      </c>
      <c r="H17" s="941">
        <f t="shared" si="0"/>
        <v>0.5</v>
      </c>
      <c r="I17" s="942"/>
      <c r="J17" s="939">
        <f>'1E - EDIT Amortization'!$O$88/12</f>
        <v>0</v>
      </c>
      <c r="K17" s="943">
        <f t="shared" si="1"/>
        <v>0</v>
      </c>
      <c r="L17" s="943">
        <f t="shared" ref="L17:L27" si="5">+K17+L16</f>
        <v>0</v>
      </c>
      <c r="M17" s="942"/>
      <c r="N17" s="939">
        <v>0</v>
      </c>
      <c r="O17" s="943">
        <f t="shared" ref="O17:O27" si="6">IF($D$237="True-Up Adjustment",N17-J17,0)</f>
        <v>0</v>
      </c>
      <c r="P17" s="943">
        <f t="shared" ref="P17:P27" si="7">IF($D$237="True-Up Adjustment",IF(AND(J17&gt;=0,N17&gt;=0),IF(O17&gt;=0,K17+O17,N17/J17*K17),IF(AND(J17&lt;0,N17&lt;0),IF(O17&lt;0,K17+O17,N17/J17*K17),0)),0)</f>
        <v>0</v>
      </c>
      <c r="Q17" s="943">
        <f t="shared" si="2"/>
        <v>0</v>
      </c>
      <c r="R17" s="943">
        <f t="shared" ref="R17:R27" si="8">R16+P17+Q17</f>
        <v>0</v>
      </c>
      <c r="S17" s="942"/>
    </row>
    <row r="18" spans="2:19">
      <c r="B18" s="1196">
        <f t="shared" si="3"/>
        <v>4</v>
      </c>
      <c r="D18" s="1201" t="s">
        <v>1030</v>
      </c>
      <c r="E18" s="939">
        <v>31</v>
      </c>
      <c r="F18" s="940">
        <v>0</v>
      </c>
      <c r="G18" s="940">
        <f t="shared" si="4"/>
        <v>214</v>
      </c>
      <c r="H18" s="941">
        <f t="shared" si="0"/>
        <v>0.5</v>
      </c>
      <c r="I18" s="942"/>
      <c r="J18" s="939">
        <f>'1E - EDIT Amortization'!$O$88/12</f>
        <v>0</v>
      </c>
      <c r="K18" s="943">
        <f t="shared" si="1"/>
        <v>0</v>
      </c>
      <c r="L18" s="943">
        <f t="shared" si="5"/>
        <v>0</v>
      </c>
      <c r="M18" s="942"/>
      <c r="N18" s="939">
        <v>0</v>
      </c>
      <c r="O18" s="943">
        <f t="shared" si="6"/>
        <v>0</v>
      </c>
      <c r="P18" s="943">
        <f t="shared" si="7"/>
        <v>0</v>
      </c>
      <c r="Q18" s="943">
        <f t="shared" si="2"/>
        <v>0</v>
      </c>
      <c r="R18" s="943">
        <f t="shared" si="8"/>
        <v>0</v>
      </c>
      <c r="S18" s="942"/>
    </row>
    <row r="19" spans="2:19">
      <c r="B19" s="1196">
        <f t="shared" si="3"/>
        <v>5</v>
      </c>
      <c r="D19" s="1201" t="s">
        <v>502</v>
      </c>
      <c r="E19" s="939">
        <v>30</v>
      </c>
      <c r="F19" s="940">
        <v>0</v>
      </c>
      <c r="G19" s="940">
        <f t="shared" si="4"/>
        <v>214</v>
      </c>
      <c r="H19" s="941">
        <f t="shared" si="0"/>
        <v>0.5</v>
      </c>
      <c r="I19" s="942"/>
      <c r="J19" s="939">
        <f>'1E - EDIT Amortization'!$O$88/12</f>
        <v>0</v>
      </c>
      <c r="K19" s="943">
        <f t="shared" si="1"/>
        <v>0</v>
      </c>
      <c r="L19" s="943">
        <f t="shared" si="5"/>
        <v>0</v>
      </c>
      <c r="M19" s="942"/>
      <c r="N19" s="939">
        <v>0</v>
      </c>
      <c r="O19" s="943">
        <f t="shared" si="6"/>
        <v>0</v>
      </c>
      <c r="P19" s="943">
        <f t="shared" si="7"/>
        <v>0</v>
      </c>
      <c r="Q19" s="943">
        <f t="shared" si="2"/>
        <v>0</v>
      </c>
      <c r="R19" s="943">
        <f t="shared" si="8"/>
        <v>0</v>
      </c>
      <c r="S19" s="942"/>
    </row>
    <row r="20" spans="2:19">
      <c r="B20" s="1196">
        <f t="shared" si="3"/>
        <v>6</v>
      </c>
      <c r="D20" s="1201" t="s">
        <v>503</v>
      </c>
      <c r="E20" s="939">
        <v>31</v>
      </c>
      <c r="F20" s="940">
        <v>0</v>
      </c>
      <c r="G20" s="940">
        <f t="shared" si="4"/>
        <v>214</v>
      </c>
      <c r="H20" s="941">
        <f t="shared" si="0"/>
        <v>0.5</v>
      </c>
      <c r="I20" s="942"/>
      <c r="J20" s="939">
        <f>'1E - EDIT Amortization'!$O$88/12</f>
        <v>0</v>
      </c>
      <c r="K20" s="943">
        <f t="shared" si="1"/>
        <v>0</v>
      </c>
      <c r="L20" s="943">
        <f t="shared" si="5"/>
        <v>0</v>
      </c>
      <c r="M20" s="942"/>
      <c r="N20" s="939">
        <v>0</v>
      </c>
      <c r="O20" s="943">
        <f t="shared" si="6"/>
        <v>0</v>
      </c>
      <c r="P20" s="943">
        <f t="shared" si="7"/>
        <v>0</v>
      </c>
      <c r="Q20" s="943">
        <f t="shared" si="2"/>
        <v>0</v>
      </c>
      <c r="R20" s="943">
        <f t="shared" si="8"/>
        <v>0</v>
      </c>
      <c r="S20" s="942"/>
    </row>
    <row r="21" spans="2:19">
      <c r="B21" s="1196">
        <f t="shared" si="3"/>
        <v>7</v>
      </c>
      <c r="D21" s="1201" t="s">
        <v>504</v>
      </c>
      <c r="E21" s="939">
        <v>30</v>
      </c>
      <c r="F21" s="940">
        <f t="shared" ref="F21:F26" si="9">E22+F22</f>
        <v>185</v>
      </c>
      <c r="G21" s="940">
        <f t="shared" si="4"/>
        <v>214</v>
      </c>
      <c r="H21" s="941">
        <f t="shared" si="0"/>
        <v>0.86448598130841126</v>
      </c>
      <c r="I21" s="942"/>
      <c r="J21" s="939">
        <f>'1E - EDIT Amortization'!$O$88/12</f>
        <v>0</v>
      </c>
      <c r="K21" s="943">
        <f t="shared" si="1"/>
        <v>0</v>
      </c>
      <c r="L21" s="943">
        <f t="shared" si="5"/>
        <v>0</v>
      </c>
      <c r="M21" s="942"/>
      <c r="N21" s="939">
        <v>0</v>
      </c>
      <c r="O21" s="943">
        <f t="shared" si="6"/>
        <v>0</v>
      </c>
      <c r="P21" s="943">
        <f t="shared" si="7"/>
        <v>0</v>
      </c>
      <c r="Q21" s="943">
        <f t="shared" si="2"/>
        <v>0</v>
      </c>
      <c r="R21" s="943">
        <f t="shared" si="8"/>
        <v>0</v>
      </c>
      <c r="S21" s="942"/>
    </row>
    <row r="22" spans="2:19">
      <c r="B22" s="1196">
        <f t="shared" si="3"/>
        <v>8</v>
      </c>
      <c r="D22" s="1201" t="s">
        <v>1031</v>
      </c>
      <c r="E22" s="939">
        <v>31</v>
      </c>
      <c r="F22" s="940">
        <f t="shared" si="9"/>
        <v>154</v>
      </c>
      <c r="G22" s="940">
        <f t="shared" si="4"/>
        <v>214</v>
      </c>
      <c r="H22" s="941">
        <f t="shared" si="0"/>
        <v>0.71962616822429903</v>
      </c>
      <c r="I22" s="942"/>
      <c r="J22" s="939">
        <f>'1E - EDIT Amortization'!$O$88/12</f>
        <v>0</v>
      </c>
      <c r="K22" s="943">
        <f t="shared" si="1"/>
        <v>0</v>
      </c>
      <c r="L22" s="943">
        <f t="shared" si="5"/>
        <v>0</v>
      </c>
      <c r="M22" s="942"/>
      <c r="N22" s="939">
        <v>0</v>
      </c>
      <c r="O22" s="943">
        <f t="shared" si="6"/>
        <v>0</v>
      </c>
      <c r="P22" s="943">
        <f t="shared" si="7"/>
        <v>0</v>
      </c>
      <c r="Q22" s="943">
        <f t="shared" si="2"/>
        <v>0</v>
      </c>
      <c r="R22" s="943">
        <f t="shared" si="8"/>
        <v>0</v>
      </c>
      <c r="S22" s="942"/>
    </row>
    <row r="23" spans="2:19">
      <c r="B23" s="1196">
        <f t="shared" si="3"/>
        <v>9</v>
      </c>
      <c r="D23" s="1201" t="s">
        <v>1032</v>
      </c>
      <c r="E23" s="939">
        <v>31</v>
      </c>
      <c r="F23" s="940">
        <f t="shared" si="9"/>
        <v>123</v>
      </c>
      <c r="G23" s="940">
        <f t="shared" si="4"/>
        <v>214</v>
      </c>
      <c r="H23" s="941">
        <f t="shared" si="0"/>
        <v>0.57476635514018692</v>
      </c>
      <c r="I23" s="942"/>
      <c r="J23" s="939">
        <f>'1E - EDIT Amortization'!$O$88/12</f>
        <v>0</v>
      </c>
      <c r="K23" s="943">
        <f t="shared" si="1"/>
        <v>0</v>
      </c>
      <c r="L23" s="943">
        <f t="shared" si="5"/>
        <v>0</v>
      </c>
      <c r="M23" s="942"/>
      <c r="N23" s="939">
        <v>0</v>
      </c>
      <c r="O23" s="943">
        <f t="shared" si="6"/>
        <v>0</v>
      </c>
      <c r="P23" s="943">
        <f t="shared" si="7"/>
        <v>0</v>
      </c>
      <c r="Q23" s="943">
        <f t="shared" si="2"/>
        <v>0</v>
      </c>
      <c r="R23" s="943">
        <f t="shared" si="8"/>
        <v>0</v>
      </c>
      <c r="S23" s="942"/>
    </row>
    <row r="24" spans="2:19">
      <c r="B24" s="1196">
        <f t="shared" si="3"/>
        <v>10</v>
      </c>
      <c r="D24" s="1201" t="s">
        <v>1033</v>
      </c>
      <c r="E24" s="939">
        <v>30</v>
      </c>
      <c r="F24" s="940">
        <f t="shared" si="9"/>
        <v>93</v>
      </c>
      <c r="G24" s="940">
        <f t="shared" si="4"/>
        <v>214</v>
      </c>
      <c r="H24" s="941">
        <f t="shared" si="0"/>
        <v>0.43457943925233644</v>
      </c>
      <c r="I24" s="942"/>
      <c r="J24" s="939">
        <f>'1E - EDIT Amortization'!$O$88/12</f>
        <v>0</v>
      </c>
      <c r="K24" s="943">
        <f>+J24*H24</f>
        <v>0</v>
      </c>
      <c r="L24" s="943">
        <f t="shared" si="5"/>
        <v>0</v>
      </c>
      <c r="M24" s="942"/>
      <c r="N24" s="939">
        <v>0</v>
      </c>
      <c r="O24" s="943">
        <f t="shared" si="6"/>
        <v>0</v>
      </c>
      <c r="P24" s="943">
        <f t="shared" si="7"/>
        <v>0</v>
      </c>
      <c r="Q24" s="943">
        <f t="shared" si="2"/>
        <v>0</v>
      </c>
      <c r="R24" s="943">
        <f t="shared" si="8"/>
        <v>0</v>
      </c>
      <c r="S24" s="942"/>
    </row>
    <row r="25" spans="2:19">
      <c r="B25" s="1196">
        <f t="shared" si="3"/>
        <v>11</v>
      </c>
      <c r="D25" s="1201" t="s">
        <v>1034</v>
      </c>
      <c r="E25" s="939">
        <v>31</v>
      </c>
      <c r="F25" s="940">
        <f t="shared" si="9"/>
        <v>62</v>
      </c>
      <c r="G25" s="940">
        <f t="shared" si="4"/>
        <v>214</v>
      </c>
      <c r="H25" s="941">
        <f t="shared" si="0"/>
        <v>0.28971962616822428</v>
      </c>
      <c r="I25" s="942"/>
      <c r="J25" s="939">
        <f>'1E - EDIT Amortization'!$O$88/12</f>
        <v>0</v>
      </c>
      <c r="K25" s="943">
        <f t="shared" si="1"/>
        <v>0</v>
      </c>
      <c r="L25" s="943">
        <f t="shared" si="5"/>
        <v>0</v>
      </c>
      <c r="M25" s="942"/>
      <c r="N25" s="939">
        <v>0</v>
      </c>
      <c r="O25" s="943">
        <f t="shared" si="6"/>
        <v>0</v>
      </c>
      <c r="P25" s="943">
        <f t="shared" si="7"/>
        <v>0</v>
      </c>
      <c r="Q25" s="943">
        <f t="shared" si="2"/>
        <v>0</v>
      </c>
      <c r="R25" s="943">
        <f t="shared" si="8"/>
        <v>0</v>
      </c>
      <c r="S25" s="942"/>
    </row>
    <row r="26" spans="2:19">
      <c r="B26" s="1196">
        <f t="shared" si="3"/>
        <v>12</v>
      </c>
      <c r="D26" s="1201" t="s">
        <v>1035</v>
      </c>
      <c r="E26" s="939">
        <v>30</v>
      </c>
      <c r="F26" s="940">
        <f t="shared" si="9"/>
        <v>32</v>
      </c>
      <c r="G26" s="940">
        <f t="shared" si="4"/>
        <v>214</v>
      </c>
      <c r="H26" s="941">
        <f t="shared" si="0"/>
        <v>0.14953271028037382</v>
      </c>
      <c r="I26" s="942"/>
      <c r="J26" s="939">
        <f>'1E - EDIT Amortization'!$O$88/12</f>
        <v>0</v>
      </c>
      <c r="K26" s="943">
        <f t="shared" si="1"/>
        <v>0</v>
      </c>
      <c r="L26" s="943">
        <f t="shared" si="5"/>
        <v>0</v>
      </c>
      <c r="M26" s="942"/>
      <c r="N26" s="939">
        <v>0</v>
      </c>
      <c r="O26" s="943">
        <f t="shared" si="6"/>
        <v>0</v>
      </c>
      <c r="P26" s="943">
        <f t="shared" si="7"/>
        <v>0</v>
      </c>
      <c r="Q26" s="943">
        <f t="shared" si="2"/>
        <v>0</v>
      </c>
      <c r="R26" s="943">
        <f t="shared" si="8"/>
        <v>0</v>
      </c>
      <c r="S26" s="942"/>
    </row>
    <row r="27" spans="2:19">
      <c r="B27" s="1196">
        <f t="shared" si="3"/>
        <v>13</v>
      </c>
      <c r="D27" s="1202" t="s">
        <v>1036</v>
      </c>
      <c r="E27" s="939">
        <v>31</v>
      </c>
      <c r="F27" s="944">
        <v>1</v>
      </c>
      <c r="G27" s="940">
        <f t="shared" si="4"/>
        <v>214</v>
      </c>
      <c r="H27" s="941">
        <f t="shared" si="0"/>
        <v>4.6728971962616819E-3</v>
      </c>
      <c r="I27" s="942"/>
      <c r="J27" s="939">
        <f>'1E - EDIT Amortization'!$O$88/12</f>
        <v>0</v>
      </c>
      <c r="K27" s="943">
        <f t="shared" si="1"/>
        <v>0</v>
      </c>
      <c r="L27" s="943">
        <f t="shared" si="5"/>
        <v>0</v>
      </c>
      <c r="M27" s="942"/>
      <c r="N27" s="939">
        <v>0</v>
      </c>
      <c r="O27" s="943">
        <f t="shared" si="6"/>
        <v>0</v>
      </c>
      <c r="P27" s="943">
        <f t="shared" si="7"/>
        <v>0</v>
      </c>
      <c r="Q27" s="943">
        <f t="shared" si="2"/>
        <v>0</v>
      </c>
      <c r="R27" s="943">
        <f t="shared" si="8"/>
        <v>0</v>
      </c>
      <c r="S27" s="942"/>
    </row>
    <row r="28" spans="2:19">
      <c r="B28" s="1196">
        <f t="shared" si="3"/>
        <v>14</v>
      </c>
      <c r="D28" s="1203" t="str">
        <f>"Total (Sum of Lines "&amp;B16&amp;" - "&amp;B27&amp;")"</f>
        <v>Total (Sum of Lines 2 - 13)</v>
      </c>
      <c r="E28" s="945">
        <f>SUM(E16:E27)</f>
        <v>365</v>
      </c>
      <c r="F28" s="1204"/>
      <c r="G28" s="1204"/>
      <c r="H28" s="1205"/>
      <c r="I28" s="946"/>
      <c r="J28" s="945">
        <f>SUM(J16:J27)</f>
        <v>0</v>
      </c>
      <c r="K28" s="945"/>
      <c r="L28" s="947"/>
      <c r="M28" s="946"/>
      <c r="N28" s="945">
        <f>SUM(N16:N27)</f>
        <v>0</v>
      </c>
      <c r="O28" s="945">
        <f>SUM(O16:O27)</f>
        <v>0</v>
      </c>
      <c r="P28" s="945">
        <f>SUM(P16:P27)</f>
        <v>0</v>
      </c>
      <c r="Q28" s="945">
        <f>SUM(Q16:Q27)</f>
        <v>0</v>
      </c>
      <c r="R28" s="947"/>
      <c r="S28" s="946"/>
    </row>
    <row r="29" spans="2:19">
      <c r="D29" s="1206"/>
      <c r="E29" s="1206"/>
      <c r="F29" s="1206"/>
      <c r="G29" s="1206"/>
      <c r="H29" s="1207"/>
      <c r="I29" s="1207"/>
      <c r="K29" s="1208"/>
      <c r="L29" s="1207"/>
      <c r="M29" s="1207"/>
      <c r="O29" s="1208"/>
      <c r="P29" s="1208"/>
      <c r="Q29" s="1208"/>
      <c r="R29" s="1207"/>
      <c r="S29" s="1207"/>
    </row>
    <row r="30" spans="2:19">
      <c r="B30" s="1196">
        <f>B28+1</f>
        <v>15</v>
      </c>
      <c r="D30" s="1190" t="s">
        <v>1122</v>
      </c>
      <c r="I30" s="1207"/>
      <c r="J30" s="939" t="s">
        <v>1566</v>
      </c>
      <c r="L30" s="939">
        <f>'1E - EDIT Amortization'!$M$70+'1E - EDIT Amortization'!$M$79</f>
        <v>0</v>
      </c>
      <c r="M30" s="1209"/>
      <c r="N30" s="939" t="s">
        <v>1566</v>
      </c>
      <c r="R30" s="939">
        <f>'1E - EDIT Amortization'!$M$70+'1E - EDIT Amortization'!$M$79</f>
        <v>0</v>
      </c>
    </row>
    <row r="31" spans="2:19">
      <c r="B31" s="1196">
        <f>B30+1</f>
        <v>16</v>
      </c>
      <c r="D31" s="1190" t="s">
        <v>1123</v>
      </c>
      <c r="I31" s="1207"/>
      <c r="J31" s="1210" t="s">
        <v>1039</v>
      </c>
      <c r="L31" s="949">
        <v>0</v>
      </c>
      <c r="M31" s="1211"/>
      <c r="N31" s="1210"/>
      <c r="R31" s="949">
        <v>0</v>
      </c>
    </row>
    <row r="32" spans="2:19">
      <c r="B32" s="1196">
        <f>B31+1</f>
        <v>17</v>
      </c>
      <c r="D32" s="1190" t="s">
        <v>1124</v>
      </c>
      <c r="I32" s="1207"/>
      <c r="J32" s="1203" t="str">
        <f>"(Col. "&amp;L11&amp;", Line "&amp;B30&amp;" + Line "&amp;B31&amp;")"</f>
        <v>(Col. (H), Line 15 + Line 16)</v>
      </c>
      <c r="L32" s="950">
        <f>L30+L31</f>
        <v>0</v>
      </c>
      <c r="M32" s="1207"/>
      <c r="N32" s="1203" t="str">
        <f>"(Col. "&amp;R11&amp;", Line "&amp;B30&amp;" + Line "&amp;B31&amp;")"</f>
        <v>(Col. (M), Line 15 + Line 16)</v>
      </c>
      <c r="R32" s="950">
        <f>R30+R31</f>
        <v>0</v>
      </c>
    </row>
    <row r="33" spans="2:19">
      <c r="I33" s="1207"/>
      <c r="L33" s="950"/>
      <c r="M33" s="1207"/>
      <c r="R33" s="950"/>
    </row>
    <row r="34" spans="2:19">
      <c r="B34" s="1196">
        <f>B32+1</f>
        <v>18</v>
      </c>
      <c r="D34" s="1190" t="s">
        <v>1125</v>
      </c>
      <c r="I34" s="1207"/>
      <c r="J34" s="939" t="s">
        <v>1595</v>
      </c>
      <c r="L34" s="939">
        <v>-0.37999305874109268</v>
      </c>
      <c r="M34" s="1209"/>
      <c r="N34" s="939" t="s">
        <v>1594</v>
      </c>
      <c r="R34" s="939">
        <f>'1E - EDIT Amortization'!$Q$70+'1E - EDIT Amortization'!$Q$79</f>
        <v>0</v>
      </c>
    </row>
    <row r="35" spans="2:19">
      <c r="B35" s="1196">
        <f>B34+1</f>
        <v>19</v>
      </c>
      <c r="D35" s="1190" t="s">
        <v>1126</v>
      </c>
      <c r="I35" s="1207"/>
      <c r="J35" s="1210" t="s">
        <v>1039</v>
      </c>
      <c r="L35" s="949">
        <v>0</v>
      </c>
      <c r="M35" s="1207"/>
      <c r="N35" s="1210"/>
      <c r="R35" s="949">
        <v>0</v>
      </c>
    </row>
    <row r="36" spans="2:19">
      <c r="B36" s="1196">
        <f>B35+1</f>
        <v>20</v>
      </c>
      <c r="D36" s="1190" t="s">
        <v>1127</v>
      </c>
      <c r="G36" s="1203"/>
      <c r="I36" s="1207"/>
      <c r="J36" s="1203" t="str">
        <f>"(Col. "&amp;L11&amp;", Line "&amp;B34&amp;" + Line "&amp;B35&amp;")"</f>
        <v>(Col. (H), Line 18 + Line 19)</v>
      </c>
      <c r="L36" s="950">
        <f>L34+L35</f>
        <v>-0.37999305874109268</v>
      </c>
      <c r="M36" s="1207"/>
      <c r="N36" s="1203" t="str">
        <f>"(Col. "&amp;R11&amp;", Line "&amp;B34&amp;" + Line "&amp;B35&amp;")"</f>
        <v>(Col. (M), Line 18 + Line 19)</v>
      </c>
      <c r="R36" s="950">
        <f>R34+R35</f>
        <v>0</v>
      </c>
    </row>
    <row r="37" spans="2:19">
      <c r="I37" s="1207"/>
      <c r="L37" s="950"/>
      <c r="M37" s="1207"/>
      <c r="R37" s="950"/>
    </row>
    <row r="38" spans="2:19">
      <c r="B38" s="1196">
        <f>B36+1</f>
        <v>21</v>
      </c>
      <c r="D38" s="1190" t="s">
        <v>1044</v>
      </c>
      <c r="I38" s="1207"/>
      <c r="J38" s="1203" t="str">
        <f>"([Col. "&amp;L11&amp;", Line "&amp;B32&amp;" + Line "&amp;B36&amp;"] /2)"</f>
        <v>([Col. (H), Line 17 + Line 20] /2)</v>
      </c>
      <c r="L38" s="943">
        <f>(L32+L36)/2</f>
        <v>-0.18999652937054634</v>
      </c>
      <c r="M38" s="1207"/>
      <c r="N38" s="1203" t="str">
        <f>"([Col. "&amp;R11&amp;", Line "&amp;B32&amp;" + Line "&amp;B36&amp;"] /2)"</f>
        <v>([Col. (M), Line 17 + Line 20] /2)</v>
      </c>
      <c r="R38" s="943">
        <f>(R32+R36)/2</f>
        <v>0</v>
      </c>
    </row>
    <row r="39" spans="2:19">
      <c r="B39" s="1196">
        <f>B38+1</f>
        <v>22</v>
      </c>
      <c r="D39" s="1243" t="s">
        <v>1128</v>
      </c>
      <c r="E39" s="1206"/>
      <c r="F39" s="1206"/>
      <c r="G39" s="1206"/>
      <c r="H39" s="1207"/>
      <c r="I39" s="1207"/>
      <c r="J39" s="1203" t="str">
        <f>"(Col. "&amp;L11&amp;", Line "&amp;B27&amp;" )"</f>
        <v>(Col. (H), Line 13 )</v>
      </c>
      <c r="K39" s="1208"/>
      <c r="L39" s="943">
        <f>L27</f>
        <v>0</v>
      </c>
      <c r="M39" s="1207"/>
      <c r="N39" s="1203" t="str">
        <f>"(Col. "&amp;R11&amp;", Line "&amp;B27&amp;" )"</f>
        <v>(Col. (M), Line 13 )</v>
      </c>
      <c r="R39" s="943">
        <f>R27</f>
        <v>0</v>
      </c>
    </row>
    <row r="40" spans="2:19" ht="13.5" thickBot="1">
      <c r="B40" s="1196">
        <f>B39+1</f>
        <v>23</v>
      </c>
      <c r="D40" s="1212" t="s">
        <v>1129</v>
      </c>
      <c r="E40" s="1206"/>
      <c r="F40" s="1206"/>
      <c r="G40" s="1206"/>
      <c r="H40" s="1207"/>
      <c r="I40" s="1207"/>
      <c r="J40" s="1203" t="str">
        <f>"(Col. "&amp;L11&amp;", Line "&amp;B38&amp;" + Line "&amp;B39&amp;")"</f>
        <v>(Col. (H), Line 21 + Line 22)</v>
      </c>
      <c r="K40" s="1208"/>
      <c r="L40" s="951">
        <f>L38+L39</f>
        <v>-0.18999652937054634</v>
      </c>
      <c r="M40" s="1207"/>
      <c r="N40" s="1203" t="str">
        <f>"(Col. "&amp;R11&amp;", Line "&amp;B38&amp;" + Line "&amp;B39&amp;")"</f>
        <v>(Col. (M), Line 21 + Line 22)</v>
      </c>
      <c r="R40" s="951">
        <f>R38+R39</f>
        <v>0</v>
      </c>
    </row>
    <row r="41" spans="2:19">
      <c r="I41" s="1207"/>
      <c r="L41" s="943"/>
      <c r="M41" s="1207"/>
      <c r="R41" s="943"/>
      <c r="S41" s="1207"/>
    </row>
    <row r="42" spans="2:19" ht="13">
      <c r="D42" s="1189" t="s">
        <v>1130</v>
      </c>
      <c r="J42" s="1213"/>
      <c r="K42" s="1214"/>
      <c r="L42" s="1214"/>
      <c r="N42" s="1214"/>
      <c r="O42" s="1214"/>
      <c r="P42" s="1214"/>
      <c r="Q42" s="1214"/>
      <c r="R42" s="1214"/>
    </row>
    <row r="43" spans="2:19" ht="13">
      <c r="D43" s="1515" t="s">
        <v>1008</v>
      </c>
      <c r="E43" s="1516"/>
      <c r="F43" s="1516"/>
      <c r="G43" s="1516"/>
      <c r="H43" s="1517"/>
      <c r="I43" s="1197"/>
      <c r="J43" s="1518" t="s">
        <v>1119</v>
      </c>
      <c r="K43" s="1519"/>
      <c r="L43" s="1520"/>
      <c r="M43" s="1197"/>
      <c r="N43" s="1518" t="s">
        <v>1120</v>
      </c>
      <c r="O43" s="1519"/>
      <c r="P43" s="1519"/>
      <c r="Q43" s="1519"/>
      <c r="R43" s="1520"/>
      <c r="S43" s="1197"/>
    </row>
    <row r="44" spans="2:19" ht="13">
      <c r="D44" s="1198" t="s">
        <v>799</v>
      </c>
      <c r="E44" s="1198" t="s">
        <v>800</v>
      </c>
      <c r="F44" s="1198" t="s">
        <v>961</v>
      </c>
      <c r="G44" s="1198" t="s">
        <v>802</v>
      </c>
      <c r="H44" s="1198" t="s">
        <v>962</v>
      </c>
      <c r="I44" s="1197"/>
      <c r="J44" s="1198" t="s">
        <v>804</v>
      </c>
      <c r="K44" s="1198" t="s">
        <v>805</v>
      </c>
      <c r="L44" s="1198" t="s">
        <v>1011</v>
      </c>
      <c r="M44" s="1197"/>
      <c r="N44" s="1198" t="s">
        <v>882</v>
      </c>
      <c r="O44" s="1198" t="s">
        <v>1012</v>
      </c>
      <c r="P44" s="1198" t="s">
        <v>884</v>
      </c>
      <c r="Q44" s="1198" t="s">
        <v>1013</v>
      </c>
      <c r="R44" s="1198" t="s">
        <v>1014</v>
      </c>
      <c r="S44" s="1197"/>
    </row>
    <row r="45" spans="2:19" ht="50">
      <c r="B45" s="1199" t="s">
        <v>898</v>
      </c>
      <c r="D45" s="1200" t="s">
        <v>501</v>
      </c>
      <c r="E45" s="1200" t="s">
        <v>1015</v>
      </c>
      <c r="F45" s="1200" t="s">
        <v>1047</v>
      </c>
      <c r="G45" s="1200" t="s">
        <v>1048</v>
      </c>
      <c r="H45" s="1200" t="s">
        <v>1018</v>
      </c>
      <c r="I45" s="1336"/>
      <c r="J45" s="1200" t="s">
        <v>1019</v>
      </c>
      <c r="K45" s="1200" t="s">
        <v>1020</v>
      </c>
      <c r="L45" s="1200" t="s">
        <v>1021</v>
      </c>
      <c r="M45" s="1336"/>
      <c r="N45" s="1200" t="s">
        <v>1022</v>
      </c>
      <c r="O45" s="1200" t="s">
        <v>1023</v>
      </c>
      <c r="P45" s="1200" t="s">
        <v>1024</v>
      </c>
      <c r="Q45" s="1200" t="s">
        <v>1025</v>
      </c>
      <c r="R45" s="1200" t="s">
        <v>1026</v>
      </c>
      <c r="S45" s="1336"/>
    </row>
    <row r="46" spans="2:19">
      <c r="E46" s="1336"/>
      <c r="F46" s="1336"/>
      <c r="G46" s="1336"/>
      <c r="H46" s="1336"/>
      <c r="I46" s="1336"/>
      <c r="J46" s="1336"/>
      <c r="K46" s="1336"/>
      <c r="L46" s="1336"/>
      <c r="M46" s="1336"/>
      <c r="N46" s="1336"/>
      <c r="O46" s="1336"/>
      <c r="P46" s="1336"/>
      <c r="Q46" s="1336"/>
      <c r="R46" s="1336"/>
      <c r="S46" s="1336"/>
    </row>
    <row r="47" spans="2:19">
      <c r="B47" s="1196">
        <f>B40+1</f>
        <v>24</v>
      </c>
      <c r="D47" s="1190" t="s">
        <v>1121</v>
      </c>
      <c r="E47" s="1336"/>
      <c r="F47" s="1336"/>
      <c r="G47" s="1336"/>
      <c r="H47" s="1336"/>
      <c r="I47" s="1336"/>
      <c r="J47" s="939" t="s">
        <v>1566</v>
      </c>
      <c r="K47" s="1336"/>
      <c r="L47" s="939">
        <f>'1E - EDIT Amortization'!$M$90</f>
        <v>-63226931</v>
      </c>
      <c r="M47" s="1336"/>
      <c r="N47" s="939" t="s">
        <v>1566</v>
      </c>
      <c r="O47" s="1336"/>
      <c r="P47" s="1336"/>
      <c r="Q47" s="1336"/>
      <c r="R47" s="939">
        <f>'1E - EDIT Amortization'!$M$90</f>
        <v>-63226931</v>
      </c>
      <c r="S47" s="1336"/>
    </row>
    <row r="48" spans="2:19">
      <c r="E48" s="1336"/>
      <c r="F48" s="1336"/>
      <c r="G48" s="1336"/>
      <c r="H48" s="1336"/>
      <c r="I48" s="1336"/>
      <c r="J48" s="1336"/>
      <c r="K48" s="1336"/>
      <c r="L48" s="1336"/>
      <c r="M48" s="1336"/>
      <c r="N48" s="1336"/>
      <c r="O48" s="1336"/>
      <c r="P48" s="1336"/>
      <c r="Q48" s="1336"/>
      <c r="R48" s="1336"/>
      <c r="S48" s="1336"/>
    </row>
    <row r="49" spans="2:20">
      <c r="B49" s="1196">
        <f>B47+1</f>
        <v>25</v>
      </c>
      <c r="D49" s="1201" t="s">
        <v>1028</v>
      </c>
      <c r="E49" s="939">
        <v>31</v>
      </c>
      <c r="F49" s="940">
        <v>0</v>
      </c>
      <c r="G49" s="940">
        <v>214</v>
      </c>
      <c r="H49" s="941">
        <f t="shared" ref="H49:H60" si="10">IF(F49=0,0.5,F49/G49)</f>
        <v>0.5</v>
      </c>
      <c r="I49" s="942"/>
      <c r="J49" s="939">
        <v>191267.5</v>
      </c>
      <c r="K49" s="943">
        <f t="shared" ref="K49:K60" si="11">+J49*H49</f>
        <v>95633.75</v>
      </c>
      <c r="L49" s="943">
        <f>+K49+L47</f>
        <v>-63131297.25</v>
      </c>
      <c r="M49" s="942"/>
      <c r="N49" s="939">
        <f>'1E - EDIT Amortization'!$O$90/12</f>
        <v>180992.91666666666</v>
      </c>
      <c r="O49" s="943">
        <f>IF($D$237="True-Up Adjustment",N49-J49,0)</f>
        <v>-10274.583333333343</v>
      </c>
      <c r="P49" s="943">
        <f>IF($D$237="True-Up Adjustment",IF(AND(J49&gt;=0,N49&gt;=0),IF(O49&gt;=0,K49+O49,N49/J49*K49),IF(AND(J49&lt;0,N49&lt;0),IF(O49&lt;0,K49+O49,N49/J49*K49),0)),0)</f>
        <v>90496.458333333328</v>
      </c>
      <c r="Q49" s="943">
        <f t="shared" ref="Q49:Q60" si="12">IF(AND(J49&gt;=0,N49&lt;0),N49,IF(AND(J49&lt;0,N49&gt;=0),N49,0))</f>
        <v>0</v>
      </c>
      <c r="R49" s="943">
        <f>R47+P49+Q49</f>
        <v>-63136434.541666664</v>
      </c>
      <c r="S49" s="942"/>
    </row>
    <row r="50" spans="2:20">
      <c r="B50" s="1196">
        <f t="shared" ref="B50:B61" si="13">+B49+1</f>
        <v>26</v>
      </c>
      <c r="D50" s="1201" t="s">
        <v>1029</v>
      </c>
      <c r="E50" s="939">
        <v>28</v>
      </c>
      <c r="F50" s="940">
        <v>0</v>
      </c>
      <c r="G50" s="940">
        <f t="shared" ref="G50:G60" si="14">G49</f>
        <v>214</v>
      </c>
      <c r="H50" s="941">
        <f t="shared" si="10"/>
        <v>0.5</v>
      </c>
      <c r="I50" s="942"/>
      <c r="J50" s="939">
        <v>191267.5</v>
      </c>
      <c r="K50" s="943">
        <f t="shared" si="11"/>
        <v>95633.75</v>
      </c>
      <c r="L50" s="943">
        <f t="shared" ref="L50:L60" si="15">+K50+L49</f>
        <v>-63035663.5</v>
      </c>
      <c r="M50" s="942"/>
      <c r="N50" s="939">
        <f>'1E - EDIT Amortization'!$O$90/12</f>
        <v>180992.91666666666</v>
      </c>
      <c r="O50" s="943">
        <f t="shared" ref="O50:O60" si="16">IF($D$237="True-Up Adjustment",N50-J50,0)</f>
        <v>-10274.583333333343</v>
      </c>
      <c r="P50" s="943">
        <f t="shared" ref="P50:P60" si="17">IF($D$237="True-Up Adjustment",IF(AND(J50&gt;=0,N50&gt;=0),IF(O50&gt;=0,K50+O50,N50/J50*K50),IF(AND(J50&lt;0,N50&lt;0),IF(O50&lt;0,K50+O50,N50/J50*K50),0)),0)</f>
        <v>90496.458333333328</v>
      </c>
      <c r="Q50" s="943">
        <f t="shared" si="12"/>
        <v>0</v>
      </c>
      <c r="R50" s="943">
        <f t="shared" ref="R50:R60" si="18">R49+P50+Q50</f>
        <v>-63045938.083333328</v>
      </c>
      <c r="S50" s="942"/>
    </row>
    <row r="51" spans="2:20">
      <c r="B51" s="1196">
        <f t="shared" si="13"/>
        <v>27</v>
      </c>
      <c r="D51" s="1201" t="s">
        <v>1030</v>
      </c>
      <c r="E51" s="939">
        <v>31</v>
      </c>
      <c r="F51" s="940">
        <v>0</v>
      </c>
      <c r="G51" s="940">
        <f t="shared" si="14"/>
        <v>214</v>
      </c>
      <c r="H51" s="941">
        <f t="shared" si="10"/>
        <v>0.5</v>
      </c>
      <c r="I51" s="942"/>
      <c r="J51" s="939">
        <v>191267.5</v>
      </c>
      <c r="K51" s="943">
        <f t="shared" si="11"/>
        <v>95633.75</v>
      </c>
      <c r="L51" s="943">
        <f t="shared" si="15"/>
        <v>-62940029.75</v>
      </c>
      <c r="M51" s="942"/>
      <c r="N51" s="939">
        <f>'1E - EDIT Amortization'!$O$90/12</f>
        <v>180992.91666666666</v>
      </c>
      <c r="O51" s="943">
        <f t="shared" si="16"/>
        <v>-10274.583333333343</v>
      </c>
      <c r="P51" s="943">
        <f t="shared" si="17"/>
        <v>90496.458333333328</v>
      </c>
      <c r="Q51" s="943">
        <f t="shared" si="12"/>
        <v>0</v>
      </c>
      <c r="R51" s="943">
        <f t="shared" si="18"/>
        <v>-62955441.624999993</v>
      </c>
      <c r="S51" s="942"/>
    </row>
    <row r="52" spans="2:20">
      <c r="B52" s="1196">
        <f t="shared" si="13"/>
        <v>28</v>
      </c>
      <c r="D52" s="1201" t="s">
        <v>502</v>
      </c>
      <c r="E52" s="939">
        <v>30</v>
      </c>
      <c r="F52" s="940">
        <v>0</v>
      </c>
      <c r="G52" s="940">
        <f t="shared" si="14"/>
        <v>214</v>
      </c>
      <c r="H52" s="941">
        <f t="shared" si="10"/>
        <v>0.5</v>
      </c>
      <c r="I52" s="942"/>
      <c r="J52" s="939">
        <v>191267.5</v>
      </c>
      <c r="K52" s="943">
        <f t="shared" si="11"/>
        <v>95633.75</v>
      </c>
      <c r="L52" s="943">
        <f t="shared" si="15"/>
        <v>-62844396</v>
      </c>
      <c r="M52" s="942"/>
      <c r="N52" s="939">
        <f>'1E - EDIT Amortization'!$O$90/12</f>
        <v>180992.91666666666</v>
      </c>
      <c r="O52" s="943">
        <f>IF($D$237="True-Up Adjustment",N52-J52,0)</f>
        <v>-10274.583333333343</v>
      </c>
      <c r="P52" s="943">
        <f t="shared" si="17"/>
        <v>90496.458333333328</v>
      </c>
      <c r="Q52" s="943">
        <f t="shared" si="12"/>
        <v>0</v>
      </c>
      <c r="R52" s="943">
        <f t="shared" si="18"/>
        <v>-62864945.166666657</v>
      </c>
      <c r="S52" s="942"/>
    </row>
    <row r="53" spans="2:20">
      <c r="B53" s="1196">
        <f t="shared" si="13"/>
        <v>29</v>
      </c>
      <c r="D53" s="1201" t="s">
        <v>503</v>
      </c>
      <c r="E53" s="939">
        <v>31</v>
      </c>
      <c r="F53" s="940">
        <v>0</v>
      </c>
      <c r="G53" s="940">
        <f t="shared" si="14"/>
        <v>214</v>
      </c>
      <c r="H53" s="941">
        <f t="shared" si="10"/>
        <v>0.5</v>
      </c>
      <c r="I53" s="942"/>
      <c r="J53" s="939">
        <v>191267.5</v>
      </c>
      <c r="K53" s="943">
        <f t="shared" si="11"/>
        <v>95633.75</v>
      </c>
      <c r="L53" s="943">
        <f t="shared" si="15"/>
        <v>-62748762.25</v>
      </c>
      <c r="M53" s="942"/>
      <c r="N53" s="939">
        <f>'1E - EDIT Amortization'!$O$90/12</f>
        <v>180992.91666666666</v>
      </c>
      <c r="O53" s="943">
        <f t="shared" si="16"/>
        <v>-10274.583333333343</v>
      </c>
      <c r="P53" s="943">
        <f t="shared" si="17"/>
        <v>90496.458333333328</v>
      </c>
      <c r="Q53" s="943">
        <f t="shared" si="12"/>
        <v>0</v>
      </c>
      <c r="R53" s="943">
        <f t="shared" si="18"/>
        <v>-62774448.708333321</v>
      </c>
      <c r="S53" s="942"/>
    </row>
    <row r="54" spans="2:20">
      <c r="B54" s="1196">
        <f t="shared" si="13"/>
        <v>30</v>
      </c>
      <c r="D54" s="1201" t="s">
        <v>504</v>
      </c>
      <c r="E54" s="939">
        <v>30</v>
      </c>
      <c r="F54" s="940">
        <f t="shared" ref="F54:F59" si="19">E55+F55</f>
        <v>185</v>
      </c>
      <c r="G54" s="940">
        <f t="shared" si="14"/>
        <v>214</v>
      </c>
      <c r="H54" s="941">
        <f t="shared" si="10"/>
        <v>0.86448598130841126</v>
      </c>
      <c r="I54" s="942"/>
      <c r="J54" s="939">
        <v>191267.5</v>
      </c>
      <c r="K54" s="943">
        <f t="shared" si="11"/>
        <v>165348.07242990655</v>
      </c>
      <c r="L54" s="943">
        <f t="shared" si="15"/>
        <v>-62583414.177570097</v>
      </c>
      <c r="M54" s="942"/>
      <c r="N54" s="939">
        <f>'1E - EDIT Amortization'!$O$90/12</f>
        <v>180992.91666666666</v>
      </c>
      <c r="O54" s="943">
        <f t="shared" si="16"/>
        <v>-10274.583333333343</v>
      </c>
      <c r="P54" s="943">
        <f t="shared" si="17"/>
        <v>156465.83917445483</v>
      </c>
      <c r="Q54" s="943">
        <f t="shared" si="12"/>
        <v>0</v>
      </c>
      <c r="R54" s="943">
        <f t="shared" si="18"/>
        <v>-62617982.869158864</v>
      </c>
      <c r="S54" s="942"/>
    </row>
    <row r="55" spans="2:20">
      <c r="B55" s="1196">
        <f t="shared" si="13"/>
        <v>31</v>
      </c>
      <c r="D55" s="1201" t="s">
        <v>1031</v>
      </c>
      <c r="E55" s="939">
        <v>31</v>
      </c>
      <c r="F55" s="940">
        <f t="shared" si="19"/>
        <v>154</v>
      </c>
      <c r="G55" s="940">
        <f t="shared" si="14"/>
        <v>214</v>
      </c>
      <c r="H55" s="941">
        <f t="shared" si="10"/>
        <v>0.71962616822429903</v>
      </c>
      <c r="I55" s="942"/>
      <c r="J55" s="939">
        <v>191267.5</v>
      </c>
      <c r="K55" s="943">
        <f t="shared" si="11"/>
        <v>137641.09813084113</v>
      </c>
      <c r="L55" s="943">
        <f t="shared" si="15"/>
        <v>-62445773.079439253</v>
      </c>
      <c r="M55" s="942"/>
      <c r="N55" s="939">
        <f>'1E - EDIT Amortization'!$O$90/12</f>
        <v>180992.91666666666</v>
      </c>
      <c r="O55" s="943">
        <f t="shared" si="16"/>
        <v>-10274.583333333343</v>
      </c>
      <c r="P55" s="943">
        <f t="shared" si="17"/>
        <v>130247.2390965732</v>
      </c>
      <c r="Q55" s="943">
        <f t="shared" si="12"/>
        <v>0</v>
      </c>
      <c r="R55" s="943">
        <f t="shared" si="18"/>
        <v>-62487735.63006229</v>
      </c>
      <c r="S55" s="942"/>
    </row>
    <row r="56" spans="2:20">
      <c r="B56" s="1196">
        <f t="shared" si="13"/>
        <v>32</v>
      </c>
      <c r="D56" s="1201" t="s">
        <v>1032</v>
      </c>
      <c r="E56" s="939">
        <v>31</v>
      </c>
      <c r="F56" s="940">
        <f t="shared" si="19"/>
        <v>123</v>
      </c>
      <c r="G56" s="940">
        <f t="shared" si="14"/>
        <v>214</v>
      </c>
      <c r="H56" s="941">
        <f t="shared" si="10"/>
        <v>0.57476635514018692</v>
      </c>
      <c r="I56" s="942"/>
      <c r="J56" s="939">
        <v>191267.5</v>
      </c>
      <c r="K56" s="943">
        <f t="shared" si="11"/>
        <v>109934.12383177571</v>
      </c>
      <c r="L56" s="943">
        <f t="shared" si="15"/>
        <v>-62335838.955607474</v>
      </c>
      <c r="M56" s="942"/>
      <c r="N56" s="939">
        <f>'1E - EDIT Amortization'!$O$90/12</f>
        <v>180992.91666666666</v>
      </c>
      <c r="O56" s="943">
        <f t="shared" si="16"/>
        <v>-10274.583333333343</v>
      </c>
      <c r="P56" s="943">
        <f t="shared" si="17"/>
        <v>104028.6390186916</v>
      </c>
      <c r="Q56" s="943">
        <f t="shared" si="12"/>
        <v>0</v>
      </c>
      <c r="R56" s="943">
        <f t="shared" si="18"/>
        <v>-62383706.991043597</v>
      </c>
      <c r="S56" s="942"/>
    </row>
    <row r="57" spans="2:20">
      <c r="B57" s="1196">
        <f t="shared" si="13"/>
        <v>33</v>
      </c>
      <c r="D57" s="1201" t="s">
        <v>1033</v>
      </c>
      <c r="E57" s="939">
        <v>30</v>
      </c>
      <c r="F57" s="940">
        <f t="shared" si="19"/>
        <v>93</v>
      </c>
      <c r="G57" s="940">
        <f t="shared" si="14"/>
        <v>214</v>
      </c>
      <c r="H57" s="941">
        <f t="shared" si="10"/>
        <v>0.43457943925233644</v>
      </c>
      <c r="I57" s="942"/>
      <c r="J57" s="939">
        <v>191267.5</v>
      </c>
      <c r="K57" s="943">
        <f t="shared" si="11"/>
        <v>83120.922897196258</v>
      </c>
      <c r="L57" s="943">
        <f t="shared" si="15"/>
        <v>-62252718.032710277</v>
      </c>
      <c r="M57" s="942"/>
      <c r="N57" s="939">
        <f>'1E - EDIT Amortization'!$O$90/12</f>
        <v>180992.91666666666</v>
      </c>
      <c r="O57" s="943">
        <f t="shared" si="16"/>
        <v>-10274.583333333343</v>
      </c>
      <c r="P57" s="943">
        <f t="shared" si="17"/>
        <v>78655.800233644855</v>
      </c>
      <c r="Q57" s="943">
        <f t="shared" si="12"/>
        <v>0</v>
      </c>
      <c r="R57" s="943">
        <f t="shared" si="18"/>
        <v>-62305051.19080995</v>
      </c>
      <c r="S57" s="942"/>
    </row>
    <row r="58" spans="2:20">
      <c r="B58" s="1196">
        <f t="shared" si="13"/>
        <v>34</v>
      </c>
      <c r="D58" s="1201" t="s">
        <v>1034</v>
      </c>
      <c r="E58" s="939">
        <v>31</v>
      </c>
      <c r="F58" s="940">
        <f t="shared" si="19"/>
        <v>62</v>
      </c>
      <c r="G58" s="940">
        <f t="shared" si="14"/>
        <v>214</v>
      </c>
      <c r="H58" s="941">
        <f t="shared" si="10"/>
        <v>0.28971962616822428</v>
      </c>
      <c r="I58" s="942"/>
      <c r="J58" s="939">
        <v>191267.5</v>
      </c>
      <c r="K58" s="943">
        <f t="shared" si="11"/>
        <v>55413.948598130839</v>
      </c>
      <c r="L58" s="943">
        <f t="shared" si="15"/>
        <v>-62197304.084112145</v>
      </c>
      <c r="M58" s="942"/>
      <c r="N58" s="939">
        <f>'1E - EDIT Amortization'!$O$90/12</f>
        <v>180992.91666666666</v>
      </c>
      <c r="O58" s="943">
        <f t="shared" si="16"/>
        <v>-10274.583333333343</v>
      </c>
      <c r="P58" s="943">
        <f t="shared" si="17"/>
        <v>52437.200155763232</v>
      </c>
      <c r="Q58" s="943">
        <f t="shared" si="12"/>
        <v>0</v>
      </c>
      <c r="R58" s="943">
        <f t="shared" si="18"/>
        <v>-62252613.990654185</v>
      </c>
      <c r="S58" s="942"/>
      <c r="T58" s="1263"/>
    </row>
    <row r="59" spans="2:20">
      <c r="B59" s="1196">
        <f t="shared" si="13"/>
        <v>35</v>
      </c>
      <c r="D59" s="1201" t="s">
        <v>1035</v>
      </c>
      <c r="E59" s="939">
        <v>30</v>
      </c>
      <c r="F59" s="940">
        <f t="shared" si="19"/>
        <v>32</v>
      </c>
      <c r="G59" s="940">
        <f t="shared" si="14"/>
        <v>214</v>
      </c>
      <c r="H59" s="941">
        <f t="shared" si="10"/>
        <v>0.14953271028037382</v>
      </c>
      <c r="I59" s="942"/>
      <c r="J59" s="939">
        <v>191267.5</v>
      </c>
      <c r="K59" s="943">
        <f t="shared" si="11"/>
        <v>28600.747663551399</v>
      </c>
      <c r="L59" s="943">
        <f t="shared" si="15"/>
        <v>-62168703.336448595</v>
      </c>
      <c r="M59" s="942"/>
      <c r="N59" s="939">
        <f>'1E - EDIT Amortization'!$O$90/12</f>
        <v>180992.91666666666</v>
      </c>
      <c r="O59" s="943">
        <f t="shared" si="16"/>
        <v>-10274.583333333343</v>
      </c>
      <c r="P59" s="943">
        <f t="shared" si="17"/>
        <v>27064.361370716506</v>
      </c>
      <c r="Q59" s="943">
        <f t="shared" si="12"/>
        <v>0</v>
      </c>
      <c r="R59" s="943">
        <f t="shared" si="18"/>
        <v>-62225549.629283465</v>
      </c>
      <c r="S59" s="942"/>
    </row>
    <row r="60" spans="2:20">
      <c r="B60" s="1196">
        <f t="shared" si="13"/>
        <v>36</v>
      </c>
      <c r="D60" s="1202" t="s">
        <v>1036</v>
      </c>
      <c r="E60" s="939">
        <v>31</v>
      </c>
      <c r="F60" s="944">
        <v>1</v>
      </c>
      <c r="G60" s="940">
        <f t="shared" si="14"/>
        <v>214</v>
      </c>
      <c r="H60" s="941">
        <f t="shared" si="10"/>
        <v>4.6728971962616819E-3</v>
      </c>
      <c r="I60" s="942"/>
      <c r="J60" s="939">
        <v>191267.5</v>
      </c>
      <c r="K60" s="943">
        <f t="shared" si="11"/>
        <v>893.77336448598123</v>
      </c>
      <c r="L60" s="943">
        <f t="shared" si="15"/>
        <v>-62167809.563084111</v>
      </c>
      <c r="M60" s="942"/>
      <c r="N60" s="939">
        <f>'1E - EDIT Amortization'!$O$90/12</f>
        <v>180992.91666666666</v>
      </c>
      <c r="O60" s="943">
        <f t="shared" si="16"/>
        <v>-10274.583333333343</v>
      </c>
      <c r="P60" s="943">
        <f t="shared" si="17"/>
        <v>845.76129283489081</v>
      </c>
      <c r="Q60" s="943">
        <f t="shared" si="12"/>
        <v>0</v>
      </c>
      <c r="R60" s="943">
        <f t="shared" si="18"/>
        <v>-62224703.867990628</v>
      </c>
      <c r="S60" s="942"/>
    </row>
    <row r="61" spans="2:20">
      <c r="B61" s="1196">
        <f t="shared" si="13"/>
        <v>37</v>
      </c>
      <c r="D61" s="1203" t="str">
        <f>"Total (Sum of Lines "&amp;B49&amp;" - "&amp;B60&amp;")"</f>
        <v>Total (Sum of Lines 25 - 36)</v>
      </c>
      <c r="E61" s="945">
        <f>SUM(E49:E60)</f>
        <v>365</v>
      </c>
      <c r="F61" s="1204"/>
      <c r="G61" s="1204"/>
      <c r="H61" s="1205"/>
      <c r="I61" s="946"/>
      <c r="J61" s="945">
        <f>SUM(J49:J60)</f>
        <v>2295210</v>
      </c>
      <c r="K61" s="945">
        <f>SUM(K49:K60)</f>
        <v>1059121.436915888</v>
      </c>
      <c r="L61" s="945"/>
      <c r="M61" s="946"/>
      <c r="N61" s="945">
        <f>SUM(N49:N60)</f>
        <v>2171915.0000000005</v>
      </c>
      <c r="O61" s="945">
        <f>SUM(O49:O60)</f>
        <v>-123295.00000000012</v>
      </c>
      <c r="P61" s="945">
        <f>SUM(P49:P60)</f>
        <v>1002227.1320093457</v>
      </c>
      <c r="Q61" s="945">
        <f>SUM(Q49:Q60)</f>
        <v>0</v>
      </c>
      <c r="R61" s="947"/>
      <c r="S61" s="946"/>
    </row>
    <row r="62" spans="2:20">
      <c r="D62" s="1206"/>
      <c r="E62" s="1206"/>
      <c r="F62" s="1206"/>
      <c r="G62" s="1206"/>
      <c r="H62" s="1207"/>
      <c r="I62" s="1207"/>
      <c r="K62" s="1208"/>
      <c r="L62" s="1207"/>
      <c r="M62" s="1207"/>
      <c r="N62" s="1215"/>
      <c r="O62" s="1208"/>
      <c r="P62" s="1208"/>
      <c r="Q62" s="1208"/>
      <c r="R62" s="1207"/>
      <c r="S62" s="1207"/>
    </row>
    <row r="63" spans="2:20" ht="15" customHeight="1">
      <c r="B63" s="1196">
        <f>B61+1</f>
        <v>38</v>
      </c>
      <c r="D63" s="1190" t="s">
        <v>1122</v>
      </c>
      <c r="I63" s="1207"/>
      <c r="J63" s="939" t="s">
        <v>1566</v>
      </c>
      <c r="L63" s="939">
        <f>'1E - EDIT Amortization'!M72+'1E - EDIT Amortization'!$M$81</f>
        <v>-7543364</v>
      </c>
      <c r="M63" s="1209"/>
      <c r="N63" s="939" t="s">
        <v>1566</v>
      </c>
      <c r="R63" s="939">
        <f>'1E - EDIT Amortization'!S72+'1E - EDIT Amortization'!$M$81</f>
        <v>-7543364</v>
      </c>
    </row>
    <row r="64" spans="2:20">
      <c r="B64" s="1196">
        <f>B63+1</f>
        <v>39</v>
      </c>
      <c r="D64" s="1190" t="s">
        <v>1123</v>
      </c>
      <c r="I64" s="1207"/>
      <c r="J64" s="1210" t="s">
        <v>1039</v>
      </c>
      <c r="L64" s="949">
        <v>0</v>
      </c>
      <c r="M64" s="1211"/>
      <c r="N64" s="1210"/>
      <c r="R64" s="949">
        <v>0</v>
      </c>
    </row>
    <row r="65" spans="2:19">
      <c r="B65" s="1196">
        <f>B64+1</f>
        <v>40</v>
      </c>
      <c r="D65" s="1190" t="s">
        <v>1124</v>
      </c>
      <c r="I65" s="1207"/>
      <c r="J65" s="1203" t="str">
        <f>"(Col. "&amp;L44&amp;", Line "&amp;B63&amp;" + Line "&amp;B64&amp;")"</f>
        <v>(Col. (H), Line 38 + Line 39)</v>
      </c>
      <c r="L65" s="950">
        <f>L63+L64</f>
        <v>-7543364</v>
      </c>
      <c r="M65" s="1207"/>
      <c r="N65" s="1203" t="str">
        <f>"(Col. "&amp;R44&amp;", Line "&amp;B63&amp;" + Line "&amp;B64&amp;")"</f>
        <v>(Col. (M), Line 38 + Line 39)</v>
      </c>
      <c r="R65" s="950">
        <f>R63+R64</f>
        <v>-7543364</v>
      </c>
    </row>
    <row r="66" spans="2:19">
      <c r="I66" s="1207"/>
      <c r="L66" s="950"/>
      <c r="M66" s="1207"/>
      <c r="R66" s="950"/>
    </row>
    <row r="67" spans="2:19">
      <c r="B67" s="1196">
        <f>B65+1</f>
        <v>41</v>
      </c>
      <c r="D67" s="1190" t="s">
        <v>1125</v>
      </c>
      <c r="I67" s="1207"/>
      <c r="J67" s="939" t="s">
        <v>1595</v>
      </c>
      <c r="L67" s="939">
        <v>0</v>
      </c>
      <c r="M67" s="1209"/>
      <c r="N67" s="939" t="s">
        <v>1594</v>
      </c>
      <c r="R67" s="939">
        <f>'1E - EDIT Amortization'!$Q$72+'1E - EDIT Amortization'!$Q$81</f>
        <v>0</v>
      </c>
    </row>
    <row r="68" spans="2:19">
      <c r="B68" s="1196">
        <f>B67+1</f>
        <v>42</v>
      </c>
      <c r="D68" s="1190" t="s">
        <v>1126</v>
      </c>
      <c r="I68" s="1207"/>
      <c r="J68" s="1210" t="s">
        <v>1039</v>
      </c>
      <c r="L68" s="949">
        <v>0</v>
      </c>
      <c r="M68" s="1207"/>
      <c r="N68" s="1210"/>
      <c r="R68" s="949">
        <v>0</v>
      </c>
    </row>
    <row r="69" spans="2:19">
      <c r="B69" s="1196">
        <f>B68+1</f>
        <v>43</v>
      </c>
      <c r="D69" s="1190" t="s">
        <v>1127</v>
      </c>
      <c r="I69" s="1207"/>
      <c r="J69" s="1203" t="str">
        <f>"(Col. "&amp;L44&amp;", Line "&amp;B67&amp;" + Line "&amp;B68&amp;")"</f>
        <v>(Col. (H), Line 41 + Line 42)</v>
      </c>
      <c r="L69" s="950">
        <f>L67+L68</f>
        <v>0</v>
      </c>
      <c r="M69" s="1207"/>
      <c r="N69" s="1203" t="str">
        <f>"(Col. "&amp;R44&amp;", Line "&amp;B67&amp;" + Line "&amp;B68&amp;")"</f>
        <v>(Col. (M), Line 41 + Line 42)</v>
      </c>
      <c r="R69" s="950">
        <f>R67+R68</f>
        <v>0</v>
      </c>
    </row>
    <row r="70" spans="2:19">
      <c r="I70" s="1207"/>
      <c r="L70" s="950"/>
      <c r="M70" s="1207"/>
      <c r="R70" s="950"/>
    </row>
    <row r="71" spans="2:19">
      <c r="B71" s="1196">
        <f>B69+1</f>
        <v>44</v>
      </c>
      <c r="D71" s="1190" t="s">
        <v>1044</v>
      </c>
      <c r="I71" s="1207"/>
      <c r="J71" s="1203" t="str">
        <f>"([Col. "&amp;L44&amp;", Line "&amp;B65&amp;" + Line "&amp;B69&amp;"] /2)"</f>
        <v>([Col. (H), Line 40 + Line 43] /2)</v>
      </c>
      <c r="L71" s="943">
        <f>(L65+L69)/2</f>
        <v>-3771682</v>
      </c>
      <c r="M71" s="1207"/>
      <c r="N71" s="1203" t="str">
        <f>"([Col. "&amp;R44&amp;", Line "&amp;B65&amp;" + Line "&amp;B69&amp;"] /2)"</f>
        <v>([Col. (M), Line 40 + Line 43] /2)</v>
      </c>
      <c r="R71" s="943">
        <f>(R65+R69)/2</f>
        <v>-3771682</v>
      </c>
    </row>
    <row r="72" spans="2:19">
      <c r="B72" s="1196">
        <f>B71+1</f>
        <v>45</v>
      </c>
      <c r="D72" s="1243" t="s">
        <v>1128</v>
      </c>
      <c r="E72" s="1206"/>
      <c r="F72" s="1206"/>
      <c r="G72" s="1206"/>
      <c r="H72" s="1207"/>
      <c r="I72" s="1207"/>
      <c r="J72" s="1203" t="str">
        <f>"(Col. "&amp;L44&amp;", Line "&amp;B60&amp;" )"</f>
        <v>(Col. (H), Line 36 )</v>
      </c>
      <c r="K72" s="1208"/>
      <c r="L72" s="943">
        <f>L60</f>
        <v>-62167809.563084111</v>
      </c>
      <c r="M72" s="1207"/>
      <c r="N72" s="1203" t="str">
        <f>"(Col. "&amp;R44&amp;", Line "&amp;B60&amp;" )"</f>
        <v>(Col. (M), Line 36 )</v>
      </c>
      <c r="R72" s="943">
        <f>R60</f>
        <v>-62224703.867990628</v>
      </c>
    </row>
    <row r="73" spans="2:19" ht="13.5" thickBot="1">
      <c r="B73" s="1196">
        <f>B72+1</f>
        <v>46</v>
      </c>
      <c r="D73" s="1212" t="s">
        <v>1131</v>
      </c>
      <c r="E73" s="1206"/>
      <c r="F73" s="1206"/>
      <c r="G73" s="1206"/>
      <c r="H73" s="1207"/>
      <c r="I73" s="1207"/>
      <c r="J73" s="1203" t="str">
        <f>"(Col. "&amp;L44&amp;", Line "&amp;B71&amp;" + Line "&amp;B72&amp;")"</f>
        <v>(Col. (H), Line 44 + Line 45)</v>
      </c>
      <c r="K73" s="1208"/>
      <c r="L73" s="951">
        <f>L71+L72</f>
        <v>-65939491.563084111</v>
      </c>
      <c r="M73" s="1207"/>
      <c r="N73" s="1203" t="str">
        <f>"(Col. "&amp;R44&amp;", Line "&amp;B71&amp;" + Line "&amp;B72&amp;")"</f>
        <v>(Col. (M), Line 44 + Line 45)</v>
      </c>
      <c r="R73" s="951">
        <f>R71+R72</f>
        <v>-65996385.867990628</v>
      </c>
    </row>
    <row r="74" spans="2:19" ht="13">
      <c r="D74" s="1189"/>
    </row>
    <row r="75" spans="2:19" ht="13">
      <c r="D75" s="1189" t="s">
        <v>1132</v>
      </c>
      <c r="J75" s="1522"/>
      <c r="K75" s="1522"/>
      <c r="L75" s="1522"/>
      <c r="N75" s="1522"/>
      <c r="O75" s="1522"/>
      <c r="P75" s="1522"/>
      <c r="Q75" s="1522"/>
      <c r="R75" s="1522"/>
    </row>
    <row r="76" spans="2:19" ht="13">
      <c r="D76" s="1515" t="s">
        <v>1008</v>
      </c>
      <c r="E76" s="1516"/>
      <c r="F76" s="1516"/>
      <c r="G76" s="1516"/>
      <c r="H76" s="1517"/>
      <c r="I76" s="1197"/>
      <c r="J76" s="1518" t="s">
        <v>1119</v>
      </c>
      <c r="K76" s="1519"/>
      <c r="L76" s="1520"/>
      <c r="M76" s="1197"/>
      <c r="N76" s="1518" t="s">
        <v>1120</v>
      </c>
      <c r="O76" s="1519"/>
      <c r="P76" s="1519"/>
      <c r="Q76" s="1519"/>
      <c r="R76" s="1520"/>
      <c r="S76" s="1197"/>
    </row>
    <row r="77" spans="2:19" ht="13">
      <c r="D77" s="1198" t="s">
        <v>799</v>
      </c>
      <c r="E77" s="1198" t="s">
        <v>800</v>
      </c>
      <c r="F77" s="1198" t="s">
        <v>961</v>
      </c>
      <c r="G77" s="1198" t="s">
        <v>802</v>
      </c>
      <c r="H77" s="1198" t="s">
        <v>962</v>
      </c>
      <c r="I77" s="1197"/>
      <c r="J77" s="1198" t="s">
        <v>804</v>
      </c>
      <c r="K77" s="1198" t="s">
        <v>805</v>
      </c>
      <c r="L77" s="1198" t="s">
        <v>1011</v>
      </c>
      <c r="M77" s="1197"/>
      <c r="N77" s="1198" t="s">
        <v>882</v>
      </c>
      <c r="O77" s="1198" t="s">
        <v>1012</v>
      </c>
      <c r="P77" s="1198" t="s">
        <v>884</v>
      </c>
      <c r="Q77" s="1198" t="s">
        <v>1013</v>
      </c>
      <c r="R77" s="1198" t="s">
        <v>1014</v>
      </c>
      <c r="S77" s="1197"/>
    </row>
    <row r="78" spans="2:19" ht="50">
      <c r="B78" s="1199" t="s">
        <v>898</v>
      </c>
      <c r="D78" s="1200" t="s">
        <v>501</v>
      </c>
      <c r="E78" s="1200" t="s">
        <v>1015</v>
      </c>
      <c r="F78" s="1200" t="s">
        <v>1047</v>
      </c>
      <c r="G78" s="1200" t="s">
        <v>1048</v>
      </c>
      <c r="H78" s="1200" t="s">
        <v>1018</v>
      </c>
      <c r="I78" s="1336"/>
      <c r="J78" s="1200" t="s">
        <v>1019</v>
      </c>
      <c r="K78" s="1200" t="s">
        <v>1020</v>
      </c>
      <c r="L78" s="1200" t="s">
        <v>1021</v>
      </c>
      <c r="M78" s="1336"/>
      <c r="N78" s="1200" t="s">
        <v>1022</v>
      </c>
      <c r="O78" s="1200" t="s">
        <v>1023</v>
      </c>
      <c r="P78" s="1200" t="s">
        <v>1024</v>
      </c>
      <c r="Q78" s="1200" t="s">
        <v>1025</v>
      </c>
      <c r="R78" s="1200" t="s">
        <v>1026</v>
      </c>
      <c r="S78" s="1336"/>
    </row>
    <row r="79" spans="2:19">
      <c r="E79" s="1336"/>
      <c r="F79" s="1336"/>
      <c r="G79" s="1336"/>
      <c r="H79" s="1336"/>
      <c r="I79" s="1336"/>
      <c r="J79" s="1336"/>
      <c r="K79" s="1336"/>
      <c r="L79" s="1336"/>
      <c r="M79" s="1336"/>
      <c r="N79" s="1336"/>
      <c r="O79" s="1336"/>
      <c r="P79" s="1336"/>
      <c r="Q79" s="1336"/>
      <c r="R79" s="1336"/>
      <c r="S79" s="1336"/>
    </row>
    <row r="80" spans="2:19">
      <c r="B80" s="1196">
        <f>B73+1</f>
        <v>47</v>
      </c>
      <c r="D80" s="1190" t="s">
        <v>1027</v>
      </c>
      <c r="E80" s="1336"/>
      <c r="F80" s="1336"/>
      <c r="G80" s="1336"/>
      <c r="H80" s="1336"/>
      <c r="I80" s="1336"/>
      <c r="J80" s="939" t="s">
        <v>1566</v>
      </c>
      <c r="K80" s="1336"/>
      <c r="L80" s="939">
        <f>'1E - EDIT Amortization'!M91</f>
        <v>0</v>
      </c>
      <c r="M80" s="1336"/>
      <c r="N80" s="939" t="s">
        <v>1566</v>
      </c>
      <c r="O80" s="1336"/>
      <c r="P80" s="1336"/>
      <c r="Q80" s="1336"/>
      <c r="R80" s="939">
        <v>0</v>
      </c>
      <c r="S80" s="1336"/>
    </row>
    <row r="81" spans="2:19">
      <c r="E81" s="1336"/>
      <c r="F81" s="1336"/>
      <c r="G81" s="1336"/>
      <c r="H81" s="1336"/>
      <c r="I81" s="1336"/>
      <c r="J81" s="1336"/>
      <c r="K81" s="1336"/>
      <c r="L81" s="1336"/>
      <c r="M81" s="1336"/>
      <c r="N81" s="1336"/>
      <c r="O81" s="1336"/>
      <c r="P81" s="1336"/>
      <c r="Q81" s="1336"/>
      <c r="R81" s="1336"/>
      <c r="S81" s="1336"/>
    </row>
    <row r="82" spans="2:19">
      <c r="B82" s="1196">
        <f>B80+1</f>
        <v>48</v>
      </c>
      <c r="D82" s="1201" t="s">
        <v>1028</v>
      </c>
      <c r="E82" s="939">
        <v>31</v>
      </c>
      <c r="F82" s="940">
        <v>0</v>
      </c>
      <c r="G82" s="940">
        <v>214</v>
      </c>
      <c r="H82" s="941">
        <f t="shared" ref="H82:H93" si="20">IF(F82=0,0.5,F82/G82)</f>
        <v>0.5</v>
      </c>
      <c r="I82" s="942"/>
      <c r="J82" s="939">
        <v>0</v>
      </c>
      <c r="K82" s="943">
        <f t="shared" ref="K82:K93" si="21">+J82*H82</f>
        <v>0</v>
      </c>
      <c r="L82" s="943">
        <f>+K82</f>
        <v>0</v>
      </c>
      <c r="M82" s="942"/>
      <c r="N82" s="939">
        <v>0</v>
      </c>
      <c r="O82" s="943">
        <f>IF($D$237="True-Up Adjustment",N82-J82,0)</f>
        <v>0</v>
      </c>
      <c r="P82" s="943">
        <f>IF($D$237="True-Up Adjustment",IF(AND(J82&gt;=0,N82&gt;=0),IF(O82&gt;=0,K82+O82,N82/J82*K82),IF(AND(J82&lt;0,N82&lt;0),IF(O82&lt;0,K82+O82,N82/J82*K82),0)),0)</f>
        <v>0</v>
      </c>
      <c r="Q82" s="943">
        <f t="shared" ref="Q82:Q93" si="22">IF(AND(J82&gt;=0,N82&lt;0),N82,IF(AND(J82&lt;0,N82&gt;=0),N82,0))</f>
        <v>0</v>
      </c>
      <c r="R82" s="943">
        <f>+P82+Q82</f>
        <v>0</v>
      </c>
      <c r="S82" s="942"/>
    </row>
    <row r="83" spans="2:19">
      <c r="B83" s="1196">
        <f t="shared" ref="B83:B94" si="23">+B82+1</f>
        <v>49</v>
      </c>
      <c r="D83" s="1201" t="s">
        <v>1029</v>
      </c>
      <c r="E83" s="939">
        <v>28</v>
      </c>
      <c r="F83" s="940">
        <v>0</v>
      </c>
      <c r="G83" s="940">
        <f t="shared" ref="G83:G93" si="24">G82</f>
        <v>214</v>
      </c>
      <c r="H83" s="941">
        <f t="shared" si="20"/>
        <v>0.5</v>
      </c>
      <c r="I83" s="942"/>
      <c r="J83" s="939">
        <v>0</v>
      </c>
      <c r="K83" s="943">
        <f t="shared" si="21"/>
        <v>0</v>
      </c>
      <c r="L83" s="943">
        <f t="shared" ref="L83:L93" si="25">+K83+L82</f>
        <v>0</v>
      </c>
      <c r="M83" s="942"/>
      <c r="N83" s="939">
        <v>0</v>
      </c>
      <c r="O83" s="943">
        <f t="shared" ref="O83:O93" si="26">IF($D$237="True-Up Adjustment",N83-J83,0)</f>
        <v>0</v>
      </c>
      <c r="P83" s="943">
        <f t="shared" ref="P83:P93" si="27">IF($D$237="True-Up Adjustment",IF(AND(J83&gt;=0,N83&gt;=0),IF(O83&gt;=0,K83+O83,N83/J83*K83),IF(AND(J83&lt;0,N83&lt;0),IF(O83&lt;0,K83+O83,N83/J83*K83),0)),0)</f>
        <v>0</v>
      </c>
      <c r="Q83" s="943">
        <f t="shared" si="22"/>
        <v>0</v>
      </c>
      <c r="R83" s="943">
        <f t="shared" ref="R83:R93" si="28">R82+P83+Q83</f>
        <v>0</v>
      </c>
      <c r="S83" s="942"/>
    </row>
    <row r="84" spans="2:19">
      <c r="B84" s="1196">
        <f t="shared" si="23"/>
        <v>50</v>
      </c>
      <c r="D84" s="1201" t="s">
        <v>1030</v>
      </c>
      <c r="E84" s="939">
        <v>31</v>
      </c>
      <c r="F84" s="940">
        <v>0</v>
      </c>
      <c r="G84" s="940">
        <f t="shared" si="24"/>
        <v>214</v>
      </c>
      <c r="H84" s="941">
        <f t="shared" si="20"/>
        <v>0.5</v>
      </c>
      <c r="I84" s="942"/>
      <c r="J84" s="939">
        <v>0</v>
      </c>
      <c r="K84" s="943">
        <f t="shared" si="21"/>
        <v>0</v>
      </c>
      <c r="L84" s="943">
        <f t="shared" si="25"/>
        <v>0</v>
      </c>
      <c r="M84" s="942"/>
      <c r="N84" s="939">
        <v>0</v>
      </c>
      <c r="O84" s="943">
        <f t="shared" si="26"/>
        <v>0</v>
      </c>
      <c r="P84" s="943">
        <f t="shared" si="27"/>
        <v>0</v>
      </c>
      <c r="Q84" s="943">
        <f t="shared" si="22"/>
        <v>0</v>
      </c>
      <c r="R84" s="943">
        <f t="shared" si="28"/>
        <v>0</v>
      </c>
      <c r="S84" s="942"/>
    </row>
    <row r="85" spans="2:19">
      <c r="B85" s="1196">
        <f t="shared" si="23"/>
        <v>51</v>
      </c>
      <c r="D85" s="1201" t="s">
        <v>502</v>
      </c>
      <c r="E85" s="939">
        <v>30</v>
      </c>
      <c r="F85" s="940">
        <v>0</v>
      </c>
      <c r="G85" s="940">
        <f t="shared" si="24"/>
        <v>214</v>
      </c>
      <c r="H85" s="941">
        <f t="shared" si="20"/>
        <v>0.5</v>
      </c>
      <c r="I85" s="942"/>
      <c r="J85" s="939">
        <v>0</v>
      </c>
      <c r="K85" s="943">
        <f t="shared" si="21"/>
        <v>0</v>
      </c>
      <c r="L85" s="943">
        <f t="shared" si="25"/>
        <v>0</v>
      </c>
      <c r="M85" s="942"/>
      <c r="N85" s="939">
        <v>0</v>
      </c>
      <c r="O85" s="943">
        <f t="shared" si="26"/>
        <v>0</v>
      </c>
      <c r="P85" s="943">
        <f t="shared" si="27"/>
        <v>0</v>
      </c>
      <c r="Q85" s="943">
        <f t="shared" si="22"/>
        <v>0</v>
      </c>
      <c r="R85" s="943">
        <f t="shared" si="28"/>
        <v>0</v>
      </c>
      <c r="S85" s="942"/>
    </row>
    <row r="86" spans="2:19">
      <c r="B86" s="1196">
        <f t="shared" si="23"/>
        <v>52</v>
      </c>
      <c r="D86" s="1201" t="s">
        <v>503</v>
      </c>
      <c r="E86" s="939">
        <v>31</v>
      </c>
      <c r="F86" s="940">
        <v>0</v>
      </c>
      <c r="G86" s="940">
        <f t="shared" si="24"/>
        <v>214</v>
      </c>
      <c r="H86" s="941">
        <f t="shared" si="20"/>
        <v>0.5</v>
      </c>
      <c r="I86" s="942"/>
      <c r="J86" s="939">
        <v>0</v>
      </c>
      <c r="K86" s="943">
        <f t="shared" si="21"/>
        <v>0</v>
      </c>
      <c r="L86" s="943">
        <f t="shared" si="25"/>
        <v>0</v>
      </c>
      <c r="M86" s="942"/>
      <c r="N86" s="939">
        <v>0</v>
      </c>
      <c r="O86" s="943">
        <f t="shared" si="26"/>
        <v>0</v>
      </c>
      <c r="P86" s="943">
        <f t="shared" si="27"/>
        <v>0</v>
      </c>
      <c r="Q86" s="943">
        <f t="shared" si="22"/>
        <v>0</v>
      </c>
      <c r="R86" s="943">
        <f t="shared" si="28"/>
        <v>0</v>
      </c>
      <c r="S86" s="942"/>
    </row>
    <row r="87" spans="2:19">
      <c r="B87" s="1196">
        <f t="shared" si="23"/>
        <v>53</v>
      </c>
      <c r="D87" s="1201" t="s">
        <v>504</v>
      </c>
      <c r="E87" s="939">
        <v>30</v>
      </c>
      <c r="F87" s="940">
        <f t="shared" ref="F87:F92" si="29">E88+F88</f>
        <v>185</v>
      </c>
      <c r="G87" s="940">
        <f t="shared" si="24"/>
        <v>214</v>
      </c>
      <c r="H87" s="941">
        <f t="shared" si="20"/>
        <v>0.86448598130841126</v>
      </c>
      <c r="I87" s="942"/>
      <c r="J87" s="939">
        <v>0</v>
      </c>
      <c r="K87" s="943">
        <f t="shared" si="21"/>
        <v>0</v>
      </c>
      <c r="L87" s="943">
        <f t="shared" si="25"/>
        <v>0</v>
      </c>
      <c r="M87" s="942"/>
      <c r="N87" s="939">
        <v>0</v>
      </c>
      <c r="O87" s="943">
        <f t="shared" si="26"/>
        <v>0</v>
      </c>
      <c r="P87" s="943">
        <f t="shared" si="27"/>
        <v>0</v>
      </c>
      <c r="Q87" s="943">
        <f t="shared" si="22"/>
        <v>0</v>
      </c>
      <c r="R87" s="943">
        <f t="shared" si="28"/>
        <v>0</v>
      </c>
      <c r="S87" s="942"/>
    </row>
    <row r="88" spans="2:19">
      <c r="B88" s="1196">
        <f t="shared" si="23"/>
        <v>54</v>
      </c>
      <c r="D88" s="1201" t="s">
        <v>1031</v>
      </c>
      <c r="E88" s="939">
        <v>31</v>
      </c>
      <c r="F88" s="940">
        <f t="shared" si="29"/>
        <v>154</v>
      </c>
      <c r="G88" s="940">
        <f t="shared" si="24"/>
        <v>214</v>
      </c>
      <c r="H88" s="941">
        <f t="shared" si="20"/>
        <v>0.71962616822429903</v>
      </c>
      <c r="I88" s="942"/>
      <c r="J88" s="939">
        <v>0</v>
      </c>
      <c r="K88" s="943">
        <f t="shared" si="21"/>
        <v>0</v>
      </c>
      <c r="L88" s="943">
        <f t="shared" si="25"/>
        <v>0</v>
      </c>
      <c r="M88" s="942"/>
      <c r="N88" s="939">
        <v>0</v>
      </c>
      <c r="O88" s="943">
        <f t="shared" si="26"/>
        <v>0</v>
      </c>
      <c r="P88" s="943">
        <f t="shared" si="27"/>
        <v>0</v>
      </c>
      <c r="Q88" s="943">
        <f t="shared" si="22"/>
        <v>0</v>
      </c>
      <c r="R88" s="943">
        <f t="shared" si="28"/>
        <v>0</v>
      </c>
      <c r="S88" s="942"/>
    </row>
    <row r="89" spans="2:19">
      <c r="B89" s="1196">
        <f t="shared" si="23"/>
        <v>55</v>
      </c>
      <c r="D89" s="1201" t="s">
        <v>1032</v>
      </c>
      <c r="E89" s="939">
        <v>31</v>
      </c>
      <c r="F89" s="940">
        <f t="shared" si="29"/>
        <v>123</v>
      </c>
      <c r="G89" s="940">
        <f t="shared" si="24"/>
        <v>214</v>
      </c>
      <c r="H89" s="941">
        <f t="shared" si="20"/>
        <v>0.57476635514018692</v>
      </c>
      <c r="I89" s="942"/>
      <c r="J89" s="939">
        <v>0</v>
      </c>
      <c r="K89" s="943">
        <f t="shared" si="21"/>
        <v>0</v>
      </c>
      <c r="L89" s="943">
        <f t="shared" si="25"/>
        <v>0</v>
      </c>
      <c r="M89" s="942"/>
      <c r="N89" s="939">
        <v>0</v>
      </c>
      <c r="O89" s="943">
        <f t="shared" si="26"/>
        <v>0</v>
      </c>
      <c r="P89" s="943">
        <f t="shared" si="27"/>
        <v>0</v>
      </c>
      <c r="Q89" s="943">
        <f t="shared" si="22"/>
        <v>0</v>
      </c>
      <c r="R89" s="943">
        <f t="shared" si="28"/>
        <v>0</v>
      </c>
      <c r="S89" s="942"/>
    </row>
    <row r="90" spans="2:19">
      <c r="B90" s="1196">
        <f t="shared" si="23"/>
        <v>56</v>
      </c>
      <c r="D90" s="1201" t="s">
        <v>1033</v>
      </c>
      <c r="E90" s="939">
        <v>30</v>
      </c>
      <c r="F90" s="940">
        <f t="shared" si="29"/>
        <v>93</v>
      </c>
      <c r="G90" s="940">
        <f t="shared" si="24"/>
        <v>214</v>
      </c>
      <c r="H90" s="941">
        <f t="shared" si="20"/>
        <v>0.43457943925233644</v>
      </c>
      <c r="I90" s="942"/>
      <c r="J90" s="939">
        <v>0</v>
      </c>
      <c r="K90" s="943">
        <f t="shared" si="21"/>
        <v>0</v>
      </c>
      <c r="L90" s="943">
        <f t="shared" si="25"/>
        <v>0</v>
      </c>
      <c r="M90" s="942"/>
      <c r="N90" s="939">
        <v>0</v>
      </c>
      <c r="O90" s="943">
        <f t="shared" si="26"/>
        <v>0</v>
      </c>
      <c r="P90" s="943">
        <f t="shared" si="27"/>
        <v>0</v>
      </c>
      <c r="Q90" s="943">
        <f t="shared" si="22"/>
        <v>0</v>
      </c>
      <c r="R90" s="943">
        <f t="shared" si="28"/>
        <v>0</v>
      </c>
      <c r="S90" s="942"/>
    </row>
    <row r="91" spans="2:19">
      <c r="B91" s="1196">
        <f t="shared" si="23"/>
        <v>57</v>
      </c>
      <c r="D91" s="1201" t="s">
        <v>1034</v>
      </c>
      <c r="E91" s="939">
        <v>31</v>
      </c>
      <c r="F91" s="940">
        <f t="shared" si="29"/>
        <v>62</v>
      </c>
      <c r="G91" s="940">
        <f t="shared" si="24"/>
        <v>214</v>
      </c>
      <c r="H91" s="941">
        <f t="shared" si="20"/>
        <v>0.28971962616822428</v>
      </c>
      <c r="I91" s="942"/>
      <c r="J91" s="939">
        <v>0</v>
      </c>
      <c r="K91" s="943">
        <f t="shared" si="21"/>
        <v>0</v>
      </c>
      <c r="L91" s="943">
        <f t="shared" si="25"/>
        <v>0</v>
      </c>
      <c r="M91" s="942"/>
      <c r="N91" s="939">
        <v>0</v>
      </c>
      <c r="O91" s="943">
        <f t="shared" si="26"/>
        <v>0</v>
      </c>
      <c r="P91" s="943">
        <f t="shared" si="27"/>
        <v>0</v>
      </c>
      <c r="Q91" s="943">
        <f t="shared" si="22"/>
        <v>0</v>
      </c>
      <c r="R91" s="943">
        <f t="shared" si="28"/>
        <v>0</v>
      </c>
      <c r="S91" s="942"/>
    </row>
    <row r="92" spans="2:19">
      <c r="B92" s="1196">
        <f t="shared" si="23"/>
        <v>58</v>
      </c>
      <c r="D92" s="1201" t="s">
        <v>1035</v>
      </c>
      <c r="E92" s="939">
        <v>30</v>
      </c>
      <c r="F92" s="940">
        <f t="shared" si="29"/>
        <v>32</v>
      </c>
      <c r="G92" s="940">
        <f t="shared" si="24"/>
        <v>214</v>
      </c>
      <c r="H92" s="941">
        <f t="shared" si="20"/>
        <v>0.14953271028037382</v>
      </c>
      <c r="I92" s="942"/>
      <c r="J92" s="939">
        <v>0</v>
      </c>
      <c r="K92" s="943">
        <f t="shared" si="21"/>
        <v>0</v>
      </c>
      <c r="L92" s="943">
        <f t="shared" si="25"/>
        <v>0</v>
      </c>
      <c r="M92" s="942"/>
      <c r="N92" s="939">
        <v>0</v>
      </c>
      <c r="O92" s="943">
        <f t="shared" si="26"/>
        <v>0</v>
      </c>
      <c r="P92" s="943">
        <f t="shared" si="27"/>
        <v>0</v>
      </c>
      <c r="Q92" s="943">
        <f t="shared" si="22"/>
        <v>0</v>
      </c>
      <c r="R92" s="943">
        <f t="shared" si="28"/>
        <v>0</v>
      </c>
      <c r="S92" s="942"/>
    </row>
    <row r="93" spans="2:19">
      <c r="B93" s="1196">
        <f t="shared" si="23"/>
        <v>59</v>
      </c>
      <c r="D93" s="1202" t="s">
        <v>1036</v>
      </c>
      <c r="E93" s="939">
        <v>31</v>
      </c>
      <c r="F93" s="944">
        <v>1</v>
      </c>
      <c r="G93" s="940">
        <f t="shared" si="24"/>
        <v>214</v>
      </c>
      <c r="H93" s="941">
        <f t="shared" si="20"/>
        <v>4.6728971962616819E-3</v>
      </c>
      <c r="I93" s="942"/>
      <c r="J93" s="939">
        <v>0</v>
      </c>
      <c r="K93" s="943">
        <f t="shared" si="21"/>
        <v>0</v>
      </c>
      <c r="L93" s="943">
        <f t="shared" si="25"/>
        <v>0</v>
      </c>
      <c r="M93" s="942"/>
      <c r="N93" s="939">
        <v>0</v>
      </c>
      <c r="O93" s="943">
        <f t="shared" si="26"/>
        <v>0</v>
      </c>
      <c r="P93" s="943">
        <f t="shared" si="27"/>
        <v>0</v>
      </c>
      <c r="Q93" s="943">
        <f t="shared" si="22"/>
        <v>0</v>
      </c>
      <c r="R93" s="943">
        <f t="shared" si="28"/>
        <v>0</v>
      </c>
      <c r="S93" s="942"/>
    </row>
    <row r="94" spans="2:19">
      <c r="B94" s="1196">
        <f t="shared" si="23"/>
        <v>60</v>
      </c>
      <c r="D94" s="1203" t="str">
        <f>"Total (Sum of Lines "&amp;B82&amp;" - "&amp;B93&amp;")"</f>
        <v>Total (Sum of Lines 48 - 59)</v>
      </c>
      <c r="E94" s="945">
        <f>SUM(E82:E93)</f>
        <v>365</v>
      </c>
      <c r="F94" s="1204"/>
      <c r="G94" s="1204"/>
      <c r="H94" s="1205"/>
      <c r="I94" s="946"/>
      <c r="J94" s="945">
        <f>SUM(J82:J93)</f>
        <v>0</v>
      </c>
      <c r="K94" s="945">
        <f>SUM(K82:K93)</f>
        <v>0</v>
      </c>
      <c r="L94" s="947"/>
      <c r="M94" s="946"/>
      <c r="N94" s="945">
        <f>SUM(N82:N93)</f>
        <v>0</v>
      </c>
      <c r="O94" s="945">
        <f>SUM(O82:O93)</f>
        <v>0</v>
      </c>
      <c r="P94" s="945">
        <f>SUM(P82:P93)</f>
        <v>0</v>
      </c>
      <c r="Q94" s="945">
        <f>SUM(Q82:Q93)</f>
        <v>0</v>
      </c>
      <c r="R94" s="947"/>
      <c r="S94" s="946"/>
    </row>
    <row r="95" spans="2:19">
      <c r="D95" s="1206"/>
      <c r="E95" s="1206"/>
      <c r="F95" s="1206"/>
      <c r="G95" s="1206"/>
      <c r="H95" s="1207"/>
      <c r="I95" s="1207"/>
      <c r="K95" s="1208"/>
      <c r="L95" s="1207"/>
      <c r="M95" s="1207"/>
      <c r="N95" s="1215"/>
      <c r="O95" s="1208"/>
      <c r="P95" s="1208"/>
      <c r="Q95" s="1208"/>
      <c r="R95" s="1207"/>
      <c r="S95" s="1207"/>
    </row>
    <row r="96" spans="2:19">
      <c r="B96" s="1196">
        <f>B94+1</f>
        <v>61</v>
      </c>
      <c r="D96" s="1190" t="s">
        <v>1122</v>
      </c>
      <c r="I96" s="1207"/>
      <c r="J96" s="939" t="s">
        <v>1566</v>
      </c>
      <c r="L96" s="939">
        <f>'1E - EDIT Amortization'!$M$73+'1E - EDIT Amortization'!$M$82</f>
        <v>0</v>
      </c>
      <c r="M96" s="1209"/>
      <c r="N96" s="939" t="s">
        <v>1566</v>
      </c>
      <c r="R96" s="939">
        <f>'1E - EDIT Amortization'!$M$73+'1E - EDIT Amortization'!$M$82</f>
        <v>0</v>
      </c>
    </row>
    <row r="97" spans="2:19">
      <c r="B97" s="1196">
        <f>B96+1</f>
        <v>62</v>
      </c>
      <c r="D97" s="1190" t="s">
        <v>1123</v>
      </c>
      <c r="I97" s="1207"/>
      <c r="J97" s="1210" t="s">
        <v>1039</v>
      </c>
      <c r="L97" s="949">
        <v>0</v>
      </c>
      <c r="M97" s="1211"/>
      <c r="N97" s="1210"/>
      <c r="R97" s="949">
        <v>0</v>
      </c>
    </row>
    <row r="98" spans="2:19">
      <c r="B98" s="1196">
        <f>B97+1</f>
        <v>63</v>
      </c>
      <c r="D98" s="1190" t="s">
        <v>1124</v>
      </c>
      <c r="I98" s="1207"/>
      <c r="J98" s="1203" t="str">
        <f>"(Col. "&amp;L77&amp;", Line "&amp;B96&amp;" + Line "&amp;B97&amp;")"</f>
        <v>(Col. (H), Line 61 + Line 62)</v>
      </c>
      <c r="L98" s="950">
        <f>L96+L97</f>
        <v>0</v>
      </c>
      <c r="M98" s="1207"/>
      <c r="N98" s="1203" t="str">
        <f>"(Col. "&amp;R77&amp;", Line "&amp;B96&amp;" + Line "&amp;B97&amp;")"</f>
        <v>(Col. (M), Line 61 + Line 62)</v>
      </c>
      <c r="R98" s="950">
        <f>R96+R97</f>
        <v>0</v>
      </c>
    </row>
    <row r="99" spans="2:19">
      <c r="I99" s="1207"/>
      <c r="L99" s="950"/>
      <c r="M99" s="1207"/>
      <c r="R99" s="950"/>
    </row>
    <row r="100" spans="2:19">
      <c r="B100" s="1196">
        <f>B98+1</f>
        <v>64</v>
      </c>
      <c r="D100" s="1190" t="s">
        <v>1125</v>
      </c>
      <c r="I100" s="1207"/>
      <c r="J100" s="939" t="s">
        <v>1595</v>
      </c>
      <c r="L100" s="939">
        <v>0.47390000009909272</v>
      </c>
      <c r="M100" s="1209"/>
      <c r="N100" s="939" t="s">
        <v>1594</v>
      </c>
      <c r="R100" s="939">
        <f>'1E - EDIT Amortization'!$Q$73+'1E - EDIT Amortization'!$Q$82</f>
        <v>0</v>
      </c>
    </row>
    <row r="101" spans="2:19">
      <c r="B101" s="1196">
        <f>B100+1</f>
        <v>65</v>
      </c>
      <c r="D101" s="1190" t="s">
        <v>1126</v>
      </c>
      <c r="I101" s="1207"/>
      <c r="J101" s="1210" t="s">
        <v>1039</v>
      </c>
      <c r="L101" s="949">
        <v>0</v>
      </c>
      <c r="M101" s="1207"/>
      <c r="N101" s="1210"/>
      <c r="R101" s="949">
        <v>0</v>
      </c>
    </row>
    <row r="102" spans="2:19">
      <c r="B102" s="1196">
        <f>B101+1</f>
        <v>66</v>
      </c>
      <c r="D102" s="1190" t="s">
        <v>1127</v>
      </c>
      <c r="I102" s="1207"/>
      <c r="J102" s="1203" t="str">
        <f>"(Col. "&amp;L77&amp;", Line "&amp;B100&amp;" + Line "&amp;B101&amp;")"</f>
        <v>(Col. (H), Line 64 + Line 65)</v>
      </c>
      <c r="L102" s="950">
        <f>L100+L101</f>
        <v>0.47390000009909272</v>
      </c>
      <c r="M102" s="1207"/>
      <c r="N102" s="1203" t="str">
        <f>"(Col. "&amp;R77&amp;", Line "&amp;B100&amp;" + Line "&amp;B101&amp;")"</f>
        <v>(Col. (M), Line 64 + Line 65)</v>
      </c>
      <c r="R102" s="950">
        <f>R100+R101</f>
        <v>0</v>
      </c>
    </row>
    <row r="103" spans="2:19">
      <c r="I103" s="1207"/>
      <c r="L103" s="950"/>
      <c r="M103" s="1207"/>
      <c r="R103" s="950"/>
    </row>
    <row r="104" spans="2:19">
      <c r="B104" s="1196">
        <f>B102+1</f>
        <v>67</v>
      </c>
      <c r="D104" s="1190" t="s">
        <v>1044</v>
      </c>
      <c r="I104" s="1207"/>
      <c r="J104" s="1203" t="str">
        <f>"([Col. "&amp;L77&amp;", Line "&amp;B98&amp;" + Line "&amp;B102&amp;"] /2)"</f>
        <v>([Col. (H), Line 63 + Line 66] /2)</v>
      </c>
      <c r="L104" s="943">
        <f>(L98+L102)/2</f>
        <v>0.23695000004954636</v>
      </c>
      <c r="M104" s="1207"/>
      <c r="N104" s="1203" t="str">
        <f>"([Col. "&amp;R77&amp;", Line "&amp;B98&amp;" + Line "&amp;B102&amp;"] /2)"</f>
        <v>([Col. (M), Line 63 + Line 66] /2)</v>
      </c>
      <c r="R104" s="943">
        <f>(R98+R102)/2</f>
        <v>0</v>
      </c>
    </row>
    <row r="105" spans="2:19">
      <c r="B105" s="1196">
        <f>B104+1</f>
        <v>68</v>
      </c>
      <c r="D105" s="1243" t="s">
        <v>1128</v>
      </c>
      <c r="E105" s="1206"/>
      <c r="F105" s="1206"/>
      <c r="G105" s="1206"/>
      <c r="H105" s="1207"/>
      <c r="I105" s="1207"/>
      <c r="J105" s="1203" t="str">
        <f>"(Col. "&amp;L77&amp;", Line "&amp;B93&amp;" )"</f>
        <v>(Col. (H), Line 59 )</v>
      </c>
      <c r="K105" s="1208"/>
      <c r="L105" s="943">
        <f>L93</f>
        <v>0</v>
      </c>
      <c r="M105" s="1207"/>
      <c r="N105" s="1203" t="str">
        <f>"(Col. "&amp;R77&amp;", Line "&amp;B93&amp;" )"</f>
        <v>(Col. (M), Line 59 )</v>
      </c>
      <c r="R105" s="943">
        <f>R93</f>
        <v>0</v>
      </c>
    </row>
    <row r="106" spans="2:19" ht="13.5" thickBot="1">
      <c r="B106" s="1196">
        <f>B105+1</f>
        <v>69</v>
      </c>
      <c r="D106" s="1212" t="s">
        <v>1133</v>
      </c>
      <c r="E106" s="1206"/>
      <c r="F106" s="1206"/>
      <c r="G106" s="1206"/>
      <c r="H106" s="1207"/>
      <c r="I106" s="1207"/>
      <c r="J106" s="1203" t="str">
        <f>"(Col. "&amp;L77&amp;", Line "&amp;B104&amp;" + Line "&amp;B105&amp;")"</f>
        <v>(Col. (H), Line 67 + Line 68)</v>
      </c>
      <c r="K106" s="1208"/>
      <c r="L106" s="951">
        <f>L104+L105</f>
        <v>0.23695000004954636</v>
      </c>
      <c r="M106" s="1207"/>
      <c r="N106" s="1203" t="str">
        <f>"(Col. "&amp;R77&amp;", Line "&amp;B104&amp;" + Line "&amp;B105&amp;")"</f>
        <v>(Col. (M), Line 67 + Line 68)</v>
      </c>
      <c r="R106" s="951">
        <f>R104+R105</f>
        <v>0</v>
      </c>
    </row>
    <row r="107" spans="2:19">
      <c r="D107" s="1206"/>
      <c r="E107" s="1206"/>
      <c r="F107" s="1206"/>
      <c r="G107" s="1206"/>
      <c r="H107" s="1207"/>
      <c r="I107" s="1207"/>
      <c r="K107" s="1208"/>
      <c r="L107" s="1207"/>
      <c r="M107" s="1207"/>
      <c r="O107" s="1208"/>
      <c r="P107" s="1208"/>
      <c r="Q107" s="1208"/>
      <c r="R107" s="1207"/>
      <c r="S107" s="1207"/>
    </row>
    <row r="108" spans="2:19">
      <c r="D108" s="1206"/>
      <c r="E108" s="1206"/>
      <c r="F108" s="1206" t="s">
        <v>154</v>
      </c>
      <c r="G108" s="1206"/>
      <c r="H108" s="1207"/>
      <c r="I108" s="1207"/>
      <c r="K108" s="1208"/>
      <c r="L108" s="1207"/>
      <c r="M108" s="1207"/>
      <c r="O108" s="1208"/>
      <c r="P108" s="1208"/>
      <c r="Q108" s="1208"/>
      <c r="R108" s="1207"/>
      <c r="S108" s="1207"/>
    </row>
    <row r="109" spans="2:19" ht="13">
      <c r="D109" s="1533" t="s">
        <v>1134</v>
      </c>
      <c r="E109" s="1533"/>
      <c r="F109" s="1533"/>
      <c r="G109" s="1533"/>
      <c r="H109" s="1534"/>
      <c r="I109" s="1207"/>
      <c r="J109" s="1534" t="s">
        <v>1135</v>
      </c>
      <c r="K109" s="1534"/>
      <c r="L109" s="1534"/>
      <c r="M109" s="1534"/>
      <c r="N109" s="1534"/>
      <c r="O109" s="1208"/>
      <c r="P109" s="1208"/>
      <c r="Q109" s="1208"/>
      <c r="R109" s="1207"/>
      <c r="S109" s="1207"/>
    </row>
    <row r="110" spans="2:19" ht="12.75" customHeight="1">
      <c r="B110" s="1535" t="s">
        <v>898</v>
      </c>
      <c r="C110" s="1335"/>
      <c r="D110" s="1330" t="s">
        <v>799</v>
      </c>
      <c r="E110" s="1331"/>
      <c r="F110" s="1330" t="s">
        <v>800</v>
      </c>
      <c r="G110" s="1332"/>
      <c r="H110" s="1329" t="s">
        <v>961</v>
      </c>
      <c r="I110" s="1197"/>
      <c r="J110" s="1330" t="s">
        <v>802</v>
      </c>
      <c r="K110" s="1331"/>
      <c r="L110" s="1330" t="s">
        <v>962</v>
      </c>
      <c r="M110" s="1332"/>
      <c r="N110" s="1329" t="s">
        <v>804</v>
      </c>
    </row>
    <row r="111" spans="2:19" ht="26">
      <c r="B111" s="1536"/>
      <c r="C111" s="1335"/>
      <c r="D111" s="1244" t="s">
        <v>809</v>
      </c>
      <c r="E111" s="1245"/>
      <c r="F111" s="1246" t="s">
        <v>1136</v>
      </c>
      <c r="G111" s="1247"/>
      <c r="H111" s="1248" t="s">
        <v>1137</v>
      </c>
      <c r="J111" s="1249" t="s">
        <v>809</v>
      </c>
      <c r="K111" s="1250"/>
      <c r="L111" s="1251" t="s">
        <v>1136</v>
      </c>
      <c r="M111" s="1252"/>
      <c r="N111" s="1248" t="s">
        <v>1137</v>
      </c>
      <c r="O111" s="1208"/>
      <c r="P111" s="1208"/>
      <c r="Q111" s="1208"/>
      <c r="R111" s="1207"/>
      <c r="S111" s="1207"/>
    </row>
    <row r="112" spans="2:19" ht="5.15" customHeight="1">
      <c r="B112" s="1190"/>
      <c r="E112" s="1206"/>
      <c r="K112" s="1206"/>
      <c r="O112" s="1208"/>
      <c r="P112" s="1208"/>
      <c r="Q112" s="1208"/>
      <c r="R112" s="1207"/>
      <c r="S112" s="1207"/>
    </row>
    <row r="113" spans="2:19">
      <c r="B113" s="1196">
        <f>B106+1</f>
        <v>70</v>
      </c>
      <c r="D113" s="1253" t="s">
        <v>813</v>
      </c>
      <c r="F113" s="1254" t="str">
        <f>"(Col. "&amp;L11&amp;", Line "&amp;B40&amp;")"</f>
        <v>(Col. (H), Line 23)</v>
      </c>
      <c r="G113" s="1032"/>
      <c r="H113" s="1033">
        <f>L40</f>
        <v>-0.18999652937054634</v>
      </c>
      <c r="I113" s="1032"/>
      <c r="J113" s="1253" t="s">
        <v>813</v>
      </c>
      <c r="L113" s="1254" t="str">
        <f>"(Col. "&amp;R11&amp;", Line "&amp;B40&amp;")"</f>
        <v>(Col. (M), Line 23)</v>
      </c>
      <c r="M113" s="1032"/>
      <c r="N113" s="1033">
        <f>R40</f>
        <v>0</v>
      </c>
      <c r="O113" s="1208"/>
      <c r="P113" s="1208"/>
      <c r="Q113" s="1208"/>
      <c r="R113" s="1207"/>
      <c r="S113" s="1207"/>
    </row>
    <row r="114" spans="2:19">
      <c r="B114" s="1196">
        <f>B113+1</f>
        <v>71</v>
      </c>
      <c r="D114" s="1253" t="s">
        <v>816</v>
      </c>
      <c r="F114" s="1254" t="str">
        <f>"(Col. "&amp;L44&amp;", Line "&amp;B73&amp;")"</f>
        <v>(Col. (H), Line 46)</v>
      </c>
      <c r="H114" s="1255">
        <f>L73</f>
        <v>-65939491.563084111</v>
      </c>
      <c r="J114" s="1253" t="s">
        <v>816</v>
      </c>
      <c r="L114" s="1254" t="str">
        <f>"(Col. "&amp;R44&amp;", Line "&amp;B73&amp;")"</f>
        <v>(Col. (M), Line 46)</v>
      </c>
      <c r="N114" s="1255">
        <f>R73</f>
        <v>-65996385.867990628</v>
      </c>
      <c r="O114" s="1208"/>
      <c r="P114" s="1208"/>
      <c r="Q114" s="1208"/>
      <c r="R114" s="1207"/>
      <c r="S114" s="1207"/>
    </row>
    <row r="115" spans="2:19">
      <c r="B115" s="1196">
        <f>B114+1</f>
        <v>72</v>
      </c>
      <c r="D115" s="1253" t="s">
        <v>817</v>
      </c>
      <c r="F115" s="1254" t="str">
        <f>"(Col. "&amp;L77&amp;", Line "&amp;B106&amp;")"</f>
        <v>(Col. (H), Line 69)</v>
      </c>
      <c r="H115" s="1255">
        <f>L106</f>
        <v>0.23695000004954636</v>
      </c>
      <c r="J115" s="1253" t="s">
        <v>817</v>
      </c>
      <c r="L115" s="1254" t="str">
        <f>"(Col. "&amp;R77&amp;", Line "&amp;B106&amp;")"</f>
        <v>(Col. (M), Line 69)</v>
      </c>
      <c r="N115" s="1255">
        <f>R106</f>
        <v>0</v>
      </c>
      <c r="O115" s="1208"/>
      <c r="P115" s="1208"/>
      <c r="Q115" s="1208"/>
      <c r="R115" s="1207"/>
      <c r="S115" s="1207"/>
    </row>
    <row r="116" spans="2:19" ht="5.15" customHeight="1">
      <c r="D116" s="1206"/>
      <c r="E116" s="1206"/>
      <c r="J116" s="1206"/>
      <c r="K116" s="1206"/>
      <c r="O116" s="1208"/>
      <c r="P116" s="1208"/>
      <c r="Q116" s="1208"/>
      <c r="R116" s="1207"/>
      <c r="S116" s="1207"/>
    </row>
    <row r="117" spans="2:19" ht="13">
      <c r="B117" s="1196">
        <f>B115+1</f>
        <v>73</v>
      </c>
      <c r="D117" s="1256" t="s">
        <v>1138</v>
      </c>
      <c r="E117" s="1206"/>
      <c r="F117" s="1254" t="s">
        <v>1139</v>
      </c>
      <c r="G117" s="1034"/>
      <c r="H117" s="1035">
        <f>SUM(H113:H116)</f>
        <v>-65939491.516130634</v>
      </c>
      <c r="I117" s="1034"/>
      <c r="J117" s="1256" t="s">
        <v>1138</v>
      </c>
      <c r="K117" s="1206"/>
      <c r="L117" s="1257" t="s">
        <v>1139</v>
      </c>
      <c r="M117" s="1034"/>
      <c r="N117" s="1035">
        <f>SUM(N113:N116)</f>
        <v>-65996385.867990628</v>
      </c>
      <c r="O117" s="1208"/>
      <c r="P117" s="1208"/>
      <c r="Q117" s="1208"/>
      <c r="R117" s="1207"/>
      <c r="S117" s="1207"/>
    </row>
    <row r="118" spans="2:19">
      <c r="D118" s="1206"/>
      <c r="E118" s="1206"/>
      <c r="F118" s="1206"/>
      <c r="G118" s="1206"/>
      <c r="H118" s="1206"/>
      <c r="I118" s="1207"/>
      <c r="J118" s="1208"/>
      <c r="K118" s="1208"/>
      <c r="L118" s="1207"/>
      <c r="M118" s="1207"/>
      <c r="O118" s="1208"/>
      <c r="P118" s="1208"/>
      <c r="Q118" s="1208"/>
      <c r="R118" s="1207"/>
      <c r="S118" s="1207"/>
    </row>
    <row r="119" spans="2:19">
      <c r="D119" s="1206"/>
      <c r="E119" s="1206"/>
      <c r="F119" s="1206"/>
      <c r="G119" s="1206"/>
      <c r="H119" s="1207"/>
      <c r="I119" s="1207"/>
      <c r="K119" s="1208"/>
      <c r="L119" s="1207"/>
      <c r="M119" s="1207"/>
      <c r="O119" s="1208"/>
      <c r="P119" s="1208"/>
      <c r="Q119" s="1208"/>
      <c r="R119" s="1207"/>
      <c r="S119" s="1207"/>
    </row>
    <row r="120" spans="2:19" ht="15.75" customHeight="1">
      <c r="B120" s="1532" t="s">
        <v>833</v>
      </c>
      <c r="C120" s="1532"/>
      <c r="D120" s="1532"/>
      <c r="E120" s="1532"/>
      <c r="F120" s="1532"/>
      <c r="G120" s="1532"/>
      <c r="H120" s="1532"/>
      <c r="I120" s="1532"/>
      <c r="J120" s="1532"/>
      <c r="K120" s="1532"/>
      <c r="L120" s="1532"/>
      <c r="M120" s="1532"/>
      <c r="N120" s="1532"/>
      <c r="O120" s="1532"/>
      <c r="P120" s="1532"/>
      <c r="Q120" s="1532"/>
      <c r="R120" s="1532"/>
    </row>
    <row r="121" spans="2:19" ht="13">
      <c r="D121" s="1189"/>
    </row>
    <row r="122" spans="2:19" ht="13">
      <c r="D122" s="1189" t="s">
        <v>1118</v>
      </c>
      <c r="J122" s="1522"/>
      <c r="K122" s="1522"/>
      <c r="L122" s="1522"/>
      <c r="N122" s="1522"/>
      <c r="O122" s="1522"/>
      <c r="P122" s="1522"/>
      <c r="Q122" s="1522"/>
      <c r="R122" s="1522"/>
    </row>
    <row r="123" spans="2:19" ht="13">
      <c r="D123" s="1515" t="s">
        <v>1008</v>
      </c>
      <c r="E123" s="1516"/>
      <c r="F123" s="1516"/>
      <c r="G123" s="1516"/>
      <c r="H123" s="1517"/>
      <c r="I123" s="1197"/>
      <c r="J123" s="1518" t="s">
        <v>1119</v>
      </c>
      <c r="K123" s="1519"/>
      <c r="L123" s="1520"/>
      <c r="M123" s="1197"/>
      <c r="N123" s="1518" t="s">
        <v>1120</v>
      </c>
      <c r="O123" s="1519"/>
      <c r="P123" s="1519"/>
      <c r="Q123" s="1519"/>
      <c r="R123" s="1520"/>
      <c r="S123" s="1197"/>
    </row>
    <row r="124" spans="2:19" ht="13">
      <c r="D124" s="1198" t="s">
        <v>799</v>
      </c>
      <c r="E124" s="1198" t="s">
        <v>800</v>
      </c>
      <c r="F124" s="1198" t="s">
        <v>961</v>
      </c>
      <c r="G124" s="1198" t="s">
        <v>802</v>
      </c>
      <c r="H124" s="1198" t="s">
        <v>962</v>
      </c>
      <c r="I124" s="1197"/>
      <c r="J124" s="1198" t="s">
        <v>804</v>
      </c>
      <c r="K124" s="1198" t="s">
        <v>805</v>
      </c>
      <c r="L124" s="1198" t="s">
        <v>1011</v>
      </c>
      <c r="M124" s="1197"/>
      <c r="N124" s="1198" t="s">
        <v>882</v>
      </c>
      <c r="O124" s="1198" t="s">
        <v>1012</v>
      </c>
      <c r="P124" s="1198" t="s">
        <v>884</v>
      </c>
      <c r="Q124" s="1198" t="s">
        <v>1013</v>
      </c>
      <c r="R124" s="1198" t="s">
        <v>1014</v>
      </c>
      <c r="S124" s="1197"/>
    </row>
    <row r="125" spans="2:19" ht="63" customHeight="1">
      <c r="B125" s="1199" t="s">
        <v>898</v>
      </c>
      <c r="D125" s="1200" t="s">
        <v>501</v>
      </c>
      <c r="E125" s="1200" t="s">
        <v>1015</v>
      </c>
      <c r="F125" s="1200" t="s">
        <v>1016</v>
      </c>
      <c r="G125" s="1200" t="s">
        <v>1017</v>
      </c>
      <c r="H125" s="1200" t="s">
        <v>1018</v>
      </c>
      <c r="I125" s="1336"/>
      <c r="J125" s="1200" t="s">
        <v>1019</v>
      </c>
      <c r="K125" s="1200" t="s">
        <v>1020</v>
      </c>
      <c r="L125" s="1200" t="s">
        <v>1021</v>
      </c>
      <c r="M125" s="1336"/>
      <c r="N125" s="1200" t="s">
        <v>1022</v>
      </c>
      <c r="O125" s="1200" t="s">
        <v>1023</v>
      </c>
      <c r="P125" s="1200" t="s">
        <v>1024</v>
      </c>
      <c r="Q125" s="1200" t="s">
        <v>1025</v>
      </c>
      <c r="R125" s="1200" t="s">
        <v>1026</v>
      </c>
      <c r="S125" s="1336"/>
    </row>
    <row r="126" spans="2:19">
      <c r="E126" s="1336"/>
      <c r="F126" s="1336"/>
      <c r="G126" s="1336"/>
      <c r="H126" s="1336"/>
      <c r="I126" s="1336"/>
      <c r="J126" s="1336"/>
      <c r="K126" s="1336"/>
      <c r="L126" s="1336"/>
      <c r="M126" s="1336"/>
      <c r="N126" s="1336"/>
      <c r="O126" s="1336"/>
      <c r="P126" s="1336"/>
      <c r="Q126" s="1336"/>
      <c r="R126" s="1336"/>
      <c r="S126" s="1336"/>
    </row>
    <row r="127" spans="2:19">
      <c r="B127" s="1196">
        <f>B117+1</f>
        <v>74</v>
      </c>
      <c r="D127" s="1190" t="s">
        <v>1121</v>
      </c>
      <c r="E127" s="1336"/>
      <c r="F127" s="1336"/>
      <c r="G127" s="1336"/>
      <c r="H127" s="1336"/>
      <c r="I127" s="1336"/>
      <c r="J127" s="939" t="s">
        <v>1566</v>
      </c>
      <c r="K127" s="1336"/>
      <c r="L127" s="939">
        <v>0</v>
      </c>
      <c r="M127" s="1336"/>
      <c r="N127" s="939" t="s">
        <v>1566</v>
      </c>
      <c r="O127" s="1336"/>
      <c r="P127" s="1336"/>
      <c r="Q127" s="1336"/>
      <c r="R127" s="939">
        <v>0</v>
      </c>
      <c r="S127" s="1336"/>
    </row>
    <row r="128" spans="2:19">
      <c r="E128" s="1336"/>
      <c r="F128" s="1336"/>
      <c r="G128" s="1336"/>
      <c r="H128" s="1336"/>
      <c r="I128" s="1336"/>
      <c r="J128" s="1336"/>
      <c r="K128" s="1336"/>
      <c r="L128" s="1336"/>
      <c r="M128" s="1336"/>
      <c r="N128" s="1336"/>
      <c r="O128" s="1336"/>
      <c r="P128" s="1336"/>
      <c r="Q128" s="1336"/>
      <c r="R128" s="1336"/>
      <c r="S128" s="1336"/>
    </row>
    <row r="129" spans="2:19">
      <c r="B129" s="1196">
        <f>B127+1</f>
        <v>75</v>
      </c>
      <c r="D129" s="1201" t="s">
        <v>1028</v>
      </c>
      <c r="E129" s="939">
        <v>31</v>
      </c>
      <c r="F129" s="940">
        <v>0</v>
      </c>
      <c r="G129" s="940">
        <v>214</v>
      </c>
      <c r="H129" s="941">
        <f t="shared" ref="H129:H140" si="30">IF(F129=0,0.5,F129/G129)</f>
        <v>0.5</v>
      </c>
      <c r="I129" s="942"/>
      <c r="J129" s="939">
        <v>0</v>
      </c>
      <c r="K129" s="943">
        <f t="shared" ref="K129:K136" si="31">+J129*H129</f>
        <v>0</v>
      </c>
      <c r="L129" s="943">
        <f>+K129+L127</f>
        <v>0</v>
      </c>
      <c r="M129" s="942"/>
      <c r="N129" s="939">
        <v>0</v>
      </c>
      <c r="O129" s="943">
        <f>IF($D$237="True-Up Adjustment",N129-J129,0)</f>
        <v>0</v>
      </c>
      <c r="P129" s="943">
        <f>IF($D$237="True-Up Adjustment",IF(AND(J129&gt;=0,N129&gt;=0),IF(O129&gt;=0,K129+O129,N129/J129*K129),IF(AND(J129&lt;0,N129&lt;0),IF(O129&lt;0,K129+O129,N129/J129*K129),0)),0)</f>
        <v>0</v>
      </c>
      <c r="Q129" s="943">
        <f t="shared" ref="Q129:Q140" si="32">IF(AND(J129&gt;=0,N129&lt;0),N129,IF(AND(J129&lt;0,N129&gt;=0),N129,0))</f>
        <v>0</v>
      </c>
      <c r="R129" s="943">
        <f>+Q129+R127</f>
        <v>0</v>
      </c>
      <c r="S129" s="942"/>
    </row>
    <row r="130" spans="2:19">
      <c r="B130" s="1196">
        <f t="shared" ref="B130:B141" si="33">+B129+1</f>
        <v>76</v>
      </c>
      <c r="D130" s="1201" t="s">
        <v>1029</v>
      </c>
      <c r="E130" s="939">
        <v>28</v>
      </c>
      <c r="F130" s="940">
        <v>0</v>
      </c>
      <c r="G130" s="940">
        <f t="shared" ref="G130:G140" si="34">G129</f>
        <v>214</v>
      </c>
      <c r="H130" s="941">
        <f t="shared" si="30"/>
        <v>0.5</v>
      </c>
      <c r="I130" s="942"/>
      <c r="J130" s="939">
        <v>0</v>
      </c>
      <c r="K130" s="943">
        <f t="shared" si="31"/>
        <v>0</v>
      </c>
      <c r="L130" s="943">
        <f t="shared" ref="L130:L140" si="35">+K130+L129</f>
        <v>0</v>
      </c>
      <c r="M130" s="942"/>
      <c r="N130" s="939">
        <v>0</v>
      </c>
      <c r="O130" s="943">
        <f t="shared" ref="O130:O140" si="36">IF($D$237="True-Up Adjustment",N130-J130,0)</f>
        <v>0</v>
      </c>
      <c r="P130" s="943">
        <f t="shared" ref="P130:P140" si="37">IF($D$237="True-Up Adjustment",IF(AND(J130&gt;=0,N130&gt;=0),IF(O130&gt;=0,K130+O130,N130/J130*K130),IF(AND(J130&lt;0,N130&lt;0),IF(O130&lt;0,K130+O130,N130/J130*K130),0)),0)</f>
        <v>0</v>
      </c>
      <c r="Q130" s="943">
        <f t="shared" si="32"/>
        <v>0</v>
      </c>
      <c r="R130" s="943">
        <f t="shared" ref="R130:R140" si="38">R129+P130+Q130</f>
        <v>0</v>
      </c>
      <c r="S130" s="942"/>
    </row>
    <row r="131" spans="2:19">
      <c r="B131" s="1196">
        <f t="shared" si="33"/>
        <v>77</v>
      </c>
      <c r="D131" s="1201" t="s">
        <v>1030</v>
      </c>
      <c r="E131" s="939">
        <v>31</v>
      </c>
      <c r="F131" s="940">
        <v>0</v>
      </c>
      <c r="G131" s="940">
        <f t="shared" si="34"/>
        <v>214</v>
      </c>
      <c r="H131" s="941">
        <f t="shared" si="30"/>
        <v>0.5</v>
      </c>
      <c r="I131" s="942"/>
      <c r="J131" s="939">
        <v>0</v>
      </c>
      <c r="K131" s="943">
        <f t="shared" si="31"/>
        <v>0</v>
      </c>
      <c r="L131" s="943">
        <f t="shared" si="35"/>
        <v>0</v>
      </c>
      <c r="M131" s="942"/>
      <c r="N131" s="939">
        <v>0</v>
      </c>
      <c r="O131" s="943">
        <f t="shared" si="36"/>
        <v>0</v>
      </c>
      <c r="P131" s="943">
        <f t="shared" si="37"/>
        <v>0</v>
      </c>
      <c r="Q131" s="943">
        <f t="shared" si="32"/>
        <v>0</v>
      </c>
      <c r="R131" s="943">
        <f t="shared" si="38"/>
        <v>0</v>
      </c>
      <c r="S131" s="942"/>
    </row>
    <row r="132" spans="2:19">
      <c r="B132" s="1196">
        <f t="shared" si="33"/>
        <v>78</v>
      </c>
      <c r="D132" s="1201" t="s">
        <v>502</v>
      </c>
      <c r="E132" s="939">
        <v>30</v>
      </c>
      <c r="F132" s="940">
        <v>0</v>
      </c>
      <c r="G132" s="940">
        <f t="shared" si="34"/>
        <v>214</v>
      </c>
      <c r="H132" s="941">
        <f t="shared" si="30"/>
        <v>0.5</v>
      </c>
      <c r="I132" s="942"/>
      <c r="J132" s="939">
        <v>0</v>
      </c>
      <c r="K132" s="943">
        <f t="shared" si="31"/>
        <v>0</v>
      </c>
      <c r="L132" s="943">
        <f t="shared" si="35"/>
        <v>0</v>
      </c>
      <c r="M132" s="942"/>
      <c r="N132" s="939">
        <v>0</v>
      </c>
      <c r="O132" s="943">
        <f t="shared" si="36"/>
        <v>0</v>
      </c>
      <c r="P132" s="943">
        <f t="shared" si="37"/>
        <v>0</v>
      </c>
      <c r="Q132" s="943">
        <f t="shared" si="32"/>
        <v>0</v>
      </c>
      <c r="R132" s="943">
        <f t="shared" si="38"/>
        <v>0</v>
      </c>
      <c r="S132" s="942"/>
    </row>
    <row r="133" spans="2:19">
      <c r="B133" s="1196">
        <f t="shared" si="33"/>
        <v>79</v>
      </c>
      <c r="D133" s="1201" t="s">
        <v>503</v>
      </c>
      <c r="E133" s="939">
        <v>31</v>
      </c>
      <c r="F133" s="940">
        <v>0</v>
      </c>
      <c r="G133" s="940">
        <f t="shared" si="34"/>
        <v>214</v>
      </c>
      <c r="H133" s="941">
        <f t="shared" si="30"/>
        <v>0.5</v>
      </c>
      <c r="I133" s="942"/>
      <c r="J133" s="939">
        <v>0</v>
      </c>
      <c r="K133" s="943">
        <f t="shared" si="31"/>
        <v>0</v>
      </c>
      <c r="L133" s="943">
        <f t="shared" si="35"/>
        <v>0</v>
      </c>
      <c r="M133" s="942"/>
      <c r="N133" s="939">
        <v>0</v>
      </c>
      <c r="O133" s="943">
        <f t="shared" si="36"/>
        <v>0</v>
      </c>
      <c r="P133" s="943">
        <f t="shared" si="37"/>
        <v>0</v>
      </c>
      <c r="Q133" s="943">
        <f t="shared" si="32"/>
        <v>0</v>
      </c>
      <c r="R133" s="943">
        <f t="shared" si="38"/>
        <v>0</v>
      </c>
      <c r="S133" s="942"/>
    </row>
    <row r="134" spans="2:19">
      <c r="B134" s="1196">
        <f t="shared" si="33"/>
        <v>80</v>
      </c>
      <c r="D134" s="1201" t="s">
        <v>504</v>
      </c>
      <c r="E134" s="939">
        <v>30</v>
      </c>
      <c r="F134" s="940">
        <f t="shared" ref="F134:F139" si="39">E135+F135</f>
        <v>185</v>
      </c>
      <c r="G134" s="940">
        <f t="shared" si="34"/>
        <v>214</v>
      </c>
      <c r="H134" s="941">
        <f t="shared" si="30"/>
        <v>0.86448598130841126</v>
      </c>
      <c r="I134" s="942"/>
      <c r="J134" s="939">
        <v>0</v>
      </c>
      <c r="K134" s="943">
        <f t="shared" si="31"/>
        <v>0</v>
      </c>
      <c r="L134" s="943">
        <f t="shared" si="35"/>
        <v>0</v>
      </c>
      <c r="M134" s="942"/>
      <c r="N134" s="939">
        <v>0</v>
      </c>
      <c r="O134" s="943">
        <f t="shared" si="36"/>
        <v>0</v>
      </c>
      <c r="P134" s="943">
        <f t="shared" si="37"/>
        <v>0</v>
      </c>
      <c r="Q134" s="943">
        <f t="shared" si="32"/>
        <v>0</v>
      </c>
      <c r="R134" s="943">
        <f t="shared" si="38"/>
        <v>0</v>
      </c>
      <c r="S134" s="942"/>
    </row>
    <row r="135" spans="2:19">
      <c r="B135" s="1196">
        <f t="shared" si="33"/>
        <v>81</v>
      </c>
      <c r="D135" s="1201" t="s">
        <v>1031</v>
      </c>
      <c r="E135" s="939">
        <v>31</v>
      </c>
      <c r="F135" s="940">
        <f t="shared" si="39"/>
        <v>154</v>
      </c>
      <c r="G135" s="940">
        <f t="shared" si="34"/>
        <v>214</v>
      </c>
      <c r="H135" s="941">
        <f t="shared" si="30"/>
        <v>0.71962616822429903</v>
      </c>
      <c r="I135" s="942"/>
      <c r="J135" s="939">
        <v>0</v>
      </c>
      <c r="K135" s="943">
        <f t="shared" si="31"/>
        <v>0</v>
      </c>
      <c r="L135" s="943">
        <f t="shared" si="35"/>
        <v>0</v>
      </c>
      <c r="M135" s="942"/>
      <c r="N135" s="939">
        <v>0</v>
      </c>
      <c r="O135" s="943">
        <f t="shared" si="36"/>
        <v>0</v>
      </c>
      <c r="P135" s="943">
        <f t="shared" si="37"/>
        <v>0</v>
      </c>
      <c r="Q135" s="943">
        <f t="shared" si="32"/>
        <v>0</v>
      </c>
      <c r="R135" s="943">
        <f t="shared" si="38"/>
        <v>0</v>
      </c>
      <c r="S135" s="942"/>
    </row>
    <row r="136" spans="2:19">
      <c r="B136" s="1196">
        <f t="shared" si="33"/>
        <v>82</v>
      </c>
      <c r="D136" s="1201" t="s">
        <v>1032</v>
      </c>
      <c r="E136" s="939">
        <v>31</v>
      </c>
      <c r="F136" s="940">
        <f t="shared" si="39"/>
        <v>123</v>
      </c>
      <c r="G136" s="940">
        <f t="shared" si="34"/>
        <v>214</v>
      </c>
      <c r="H136" s="941">
        <f t="shared" si="30"/>
        <v>0.57476635514018692</v>
      </c>
      <c r="I136" s="942"/>
      <c r="J136" s="939">
        <v>0</v>
      </c>
      <c r="K136" s="943">
        <f t="shared" si="31"/>
        <v>0</v>
      </c>
      <c r="L136" s="943">
        <f t="shared" si="35"/>
        <v>0</v>
      </c>
      <c r="M136" s="942"/>
      <c r="N136" s="939">
        <v>0</v>
      </c>
      <c r="O136" s="943">
        <f t="shared" si="36"/>
        <v>0</v>
      </c>
      <c r="P136" s="943">
        <f t="shared" si="37"/>
        <v>0</v>
      </c>
      <c r="Q136" s="943">
        <f t="shared" si="32"/>
        <v>0</v>
      </c>
      <c r="R136" s="943">
        <f t="shared" si="38"/>
        <v>0</v>
      </c>
      <c r="S136" s="942"/>
    </row>
    <row r="137" spans="2:19">
      <c r="B137" s="1196">
        <f t="shared" si="33"/>
        <v>83</v>
      </c>
      <c r="D137" s="1201" t="s">
        <v>1033</v>
      </c>
      <c r="E137" s="939">
        <v>30</v>
      </c>
      <c r="F137" s="940">
        <f t="shared" si="39"/>
        <v>93</v>
      </c>
      <c r="G137" s="940">
        <f t="shared" si="34"/>
        <v>214</v>
      </c>
      <c r="H137" s="941">
        <f t="shared" si="30"/>
        <v>0.43457943925233644</v>
      </c>
      <c r="I137" s="942"/>
      <c r="J137" s="939">
        <v>0</v>
      </c>
      <c r="K137" s="943">
        <f>+J137*H137</f>
        <v>0</v>
      </c>
      <c r="L137" s="943">
        <f t="shared" si="35"/>
        <v>0</v>
      </c>
      <c r="M137" s="942"/>
      <c r="N137" s="939">
        <v>0</v>
      </c>
      <c r="O137" s="943">
        <f t="shared" si="36"/>
        <v>0</v>
      </c>
      <c r="P137" s="943">
        <f t="shared" si="37"/>
        <v>0</v>
      </c>
      <c r="Q137" s="943">
        <f t="shared" si="32"/>
        <v>0</v>
      </c>
      <c r="R137" s="943">
        <f t="shared" si="38"/>
        <v>0</v>
      </c>
      <c r="S137" s="942"/>
    </row>
    <row r="138" spans="2:19">
      <c r="B138" s="1196">
        <f t="shared" si="33"/>
        <v>84</v>
      </c>
      <c r="D138" s="1201" t="s">
        <v>1034</v>
      </c>
      <c r="E138" s="939">
        <v>31</v>
      </c>
      <c r="F138" s="940">
        <f t="shared" si="39"/>
        <v>62</v>
      </c>
      <c r="G138" s="940">
        <f t="shared" si="34"/>
        <v>214</v>
      </c>
      <c r="H138" s="941">
        <f t="shared" si="30"/>
        <v>0.28971962616822428</v>
      </c>
      <c r="I138" s="942"/>
      <c r="J138" s="939">
        <v>0</v>
      </c>
      <c r="K138" s="943">
        <f t="shared" ref="K138:K140" si="40">+J138*H138</f>
        <v>0</v>
      </c>
      <c r="L138" s="943">
        <f t="shared" si="35"/>
        <v>0</v>
      </c>
      <c r="M138" s="942"/>
      <c r="N138" s="939">
        <v>0</v>
      </c>
      <c r="O138" s="943">
        <f t="shared" si="36"/>
        <v>0</v>
      </c>
      <c r="P138" s="943">
        <f t="shared" si="37"/>
        <v>0</v>
      </c>
      <c r="Q138" s="943">
        <f t="shared" si="32"/>
        <v>0</v>
      </c>
      <c r="R138" s="943">
        <f t="shared" si="38"/>
        <v>0</v>
      </c>
      <c r="S138" s="942"/>
    </row>
    <row r="139" spans="2:19">
      <c r="B139" s="1196">
        <f t="shared" si="33"/>
        <v>85</v>
      </c>
      <c r="D139" s="1201" t="s">
        <v>1035</v>
      </c>
      <c r="E139" s="939">
        <v>30</v>
      </c>
      <c r="F139" s="940">
        <f t="shared" si="39"/>
        <v>32</v>
      </c>
      <c r="G139" s="940">
        <f t="shared" si="34"/>
        <v>214</v>
      </c>
      <c r="H139" s="941">
        <f t="shared" si="30"/>
        <v>0.14953271028037382</v>
      </c>
      <c r="I139" s="942"/>
      <c r="J139" s="939">
        <v>0</v>
      </c>
      <c r="K139" s="943">
        <f t="shared" si="40"/>
        <v>0</v>
      </c>
      <c r="L139" s="943">
        <f t="shared" si="35"/>
        <v>0</v>
      </c>
      <c r="M139" s="942"/>
      <c r="N139" s="939">
        <v>0</v>
      </c>
      <c r="O139" s="943">
        <f t="shared" si="36"/>
        <v>0</v>
      </c>
      <c r="P139" s="943">
        <f t="shared" si="37"/>
        <v>0</v>
      </c>
      <c r="Q139" s="943">
        <f t="shared" si="32"/>
        <v>0</v>
      </c>
      <c r="R139" s="943">
        <f t="shared" si="38"/>
        <v>0</v>
      </c>
      <c r="S139" s="942"/>
    </row>
    <row r="140" spans="2:19">
      <c r="B140" s="1196">
        <f t="shared" si="33"/>
        <v>86</v>
      </c>
      <c r="D140" s="1202" t="s">
        <v>1036</v>
      </c>
      <c r="E140" s="939">
        <v>31</v>
      </c>
      <c r="F140" s="944">
        <v>1</v>
      </c>
      <c r="G140" s="940">
        <f t="shared" si="34"/>
        <v>214</v>
      </c>
      <c r="H140" s="941">
        <f t="shared" si="30"/>
        <v>4.6728971962616819E-3</v>
      </c>
      <c r="I140" s="942"/>
      <c r="J140" s="939">
        <v>0</v>
      </c>
      <c r="K140" s="943">
        <f t="shared" si="40"/>
        <v>0</v>
      </c>
      <c r="L140" s="943">
        <f t="shared" si="35"/>
        <v>0</v>
      </c>
      <c r="M140" s="942"/>
      <c r="N140" s="939">
        <v>0</v>
      </c>
      <c r="O140" s="943">
        <f t="shared" si="36"/>
        <v>0</v>
      </c>
      <c r="P140" s="943">
        <f t="shared" si="37"/>
        <v>0</v>
      </c>
      <c r="Q140" s="943">
        <f t="shared" si="32"/>
        <v>0</v>
      </c>
      <c r="R140" s="943">
        <f t="shared" si="38"/>
        <v>0</v>
      </c>
      <c r="S140" s="942"/>
    </row>
    <row r="141" spans="2:19">
      <c r="B141" s="1196">
        <f t="shared" si="33"/>
        <v>87</v>
      </c>
      <c r="D141" s="1203" t="str">
        <f>"Total (Sum of Lines "&amp;B129&amp;" - "&amp;B140&amp;")"</f>
        <v>Total (Sum of Lines 75 - 86)</v>
      </c>
      <c r="E141" s="945">
        <f>SUM(E129:E140)</f>
        <v>365</v>
      </c>
      <c r="F141" s="1204"/>
      <c r="G141" s="1204"/>
      <c r="H141" s="1205"/>
      <c r="I141" s="946"/>
      <c r="J141" s="945">
        <f>SUM(J129:J140)</f>
        <v>0</v>
      </c>
      <c r="K141" s="945">
        <f>SUM(K129:K140)</f>
        <v>0</v>
      </c>
      <c r="L141" s="947"/>
      <c r="M141" s="946"/>
      <c r="N141" s="945">
        <f>SUM(N129:N140)</f>
        <v>0</v>
      </c>
      <c r="O141" s="945">
        <f>SUM(O129:O140)</f>
        <v>0</v>
      </c>
      <c r="P141" s="945">
        <f>SUM(P129:P140)</f>
        <v>0</v>
      </c>
      <c r="Q141" s="945">
        <f>SUM(Q129:Q140)</f>
        <v>0</v>
      </c>
      <c r="R141" s="947"/>
      <c r="S141" s="946"/>
    </row>
    <row r="142" spans="2:19">
      <c r="D142" s="1206"/>
      <c r="E142" s="1206"/>
      <c r="F142" s="1206"/>
      <c r="G142" s="1206"/>
      <c r="H142" s="1207"/>
      <c r="I142" s="1207"/>
      <c r="K142" s="1208"/>
      <c r="L142" s="1207"/>
      <c r="M142" s="1207"/>
      <c r="O142" s="1208"/>
      <c r="P142" s="1208"/>
      <c r="Q142" s="1208"/>
      <c r="R142" s="1207"/>
      <c r="S142" s="1207"/>
    </row>
    <row r="143" spans="2:19">
      <c r="B143" s="1196">
        <f>B141+1</f>
        <v>88</v>
      </c>
      <c r="D143" s="1190" t="s">
        <v>1122</v>
      </c>
      <c r="I143" s="1207"/>
      <c r="J143" s="939" t="s">
        <v>1566</v>
      </c>
      <c r="L143" s="939">
        <v>0</v>
      </c>
      <c r="M143" s="1209"/>
      <c r="N143" s="939" t="s">
        <v>1566</v>
      </c>
      <c r="R143" s="939">
        <v>0</v>
      </c>
    </row>
    <row r="144" spans="2:19">
      <c r="B144" s="1196">
        <f>B143+1</f>
        <v>89</v>
      </c>
      <c r="D144" s="1190" t="s">
        <v>1123</v>
      </c>
      <c r="I144" s="1207"/>
      <c r="J144" s="1210" t="s">
        <v>1039</v>
      </c>
      <c r="L144" s="949">
        <v>0</v>
      </c>
      <c r="M144" s="1211"/>
      <c r="N144" s="1210"/>
      <c r="R144" s="949">
        <v>0</v>
      </c>
    </row>
    <row r="145" spans="2:19">
      <c r="B145" s="1196">
        <f>B144+1</f>
        <v>90</v>
      </c>
      <c r="D145" s="1190" t="s">
        <v>1124</v>
      </c>
      <c r="I145" s="1207"/>
      <c r="J145" s="1203" t="str">
        <f>"(Col. "&amp;L124&amp;", Line "&amp;B143&amp;" + Line "&amp;B144&amp;")"</f>
        <v>(Col. (H), Line 88 + Line 89)</v>
      </c>
      <c r="L145" s="950">
        <f>L143+L144</f>
        <v>0</v>
      </c>
      <c r="M145" s="1207"/>
      <c r="N145" s="1203" t="str">
        <f>"(Col. "&amp;R124&amp;", Line "&amp;B143&amp;" + Line "&amp;B144&amp;")"</f>
        <v>(Col. (M), Line 88 + Line 89)</v>
      </c>
      <c r="R145" s="950">
        <f>R143+R144</f>
        <v>0</v>
      </c>
    </row>
    <row r="146" spans="2:19">
      <c r="I146" s="1207"/>
      <c r="L146" s="950"/>
      <c r="M146" s="1207"/>
      <c r="R146" s="950"/>
    </row>
    <row r="147" spans="2:19">
      <c r="B147" s="1196">
        <f>B145+1</f>
        <v>91</v>
      </c>
      <c r="D147" s="1190" t="s">
        <v>1125</v>
      </c>
      <c r="I147" s="1207"/>
      <c r="J147" s="939" t="s">
        <v>1595</v>
      </c>
      <c r="L147" s="939">
        <v>0</v>
      </c>
      <c r="M147" s="1209"/>
      <c r="N147" s="939" t="s">
        <v>1594</v>
      </c>
      <c r="R147" s="939">
        <v>0</v>
      </c>
    </row>
    <row r="148" spans="2:19">
      <c r="B148" s="1196">
        <f>B147+1</f>
        <v>92</v>
      </c>
      <c r="D148" s="1190" t="s">
        <v>1126</v>
      </c>
      <c r="I148" s="1207"/>
      <c r="J148" s="1210" t="s">
        <v>1039</v>
      </c>
      <c r="L148" s="949">
        <v>0</v>
      </c>
      <c r="M148" s="1207"/>
      <c r="N148" s="1210"/>
      <c r="R148" s="949">
        <v>0</v>
      </c>
    </row>
    <row r="149" spans="2:19">
      <c r="B149" s="1196">
        <f>B148+1</f>
        <v>93</v>
      </c>
      <c r="D149" s="1190" t="s">
        <v>1127</v>
      </c>
      <c r="G149" s="1203"/>
      <c r="I149" s="1207"/>
      <c r="J149" s="1203" t="str">
        <f>"(Col. "&amp;L124&amp;", Line "&amp;B147&amp;" + Line "&amp;B148&amp;")"</f>
        <v>(Col. (H), Line 91 + Line 92)</v>
      </c>
      <c r="L149" s="950">
        <f>L147+L148</f>
        <v>0</v>
      </c>
      <c r="M149" s="1207"/>
      <c r="N149" s="1203" t="str">
        <f>"(Col. "&amp;R124&amp;", Line "&amp;B147&amp;" + Line "&amp;B148&amp;")"</f>
        <v>(Col. (M), Line 91 + Line 92)</v>
      </c>
      <c r="R149" s="950">
        <f>R147+R148</f>
        <v>0</v>
      </c>
    </row>
    <row r="150" spans="2:19">
      <c r="I150" s="1207"/>
      <c r="L150" s="950"/>
      <c r="M150" s="1207"/>
      <c r="R150" s="950"/>
    </row>
    <row r="151" spans="2:19">
      <c r="B151" s="1196">
        <f>B149+1</f>
        <v>94</v>
      </c>
      <c r="D151" s="1190" t="s">
        <v>1044</v>
      </c>
      <c r="I151" s="1207"/>
      <c r="J151" s="1203" t="str">
        <f>"([Col. "&amp;L124&amp;", Line "&amp;B145&amp;" + Line "&amp;B149&amp;"] /2)"</f>
        <v>([Col. (H), Line 90 + Line 93] /2)</v>
      </c>
      <c r="L151" s="943">
        <f>(L145+L149)/2</f>
        <v>0</v>
      </c>
      <c r="M151" s="1207"/>
      <c r="N151" s="1203" t="str">
        <f>"([Col. "&amp;R124&amp;", Line "&amp;B145&amp;" + Line "&amp;B149&amp;"] /2)"</f>
        <v>([Col. (M), Line 90 + Line 93] /2)</v>
      </c>
      <c r="R151" s="943">
        <f>(R145+R149)/2</f>
        <v>0</v>
      </c>
    </row>
    <row r="152" spans="2:19">
      <c r="B152" s="1196">
        <f>B151+1</f>
        <v>95</v>
      </c>
      <c r="D152" s="1243" t="s">
        <v>1128</v>
      </c>
      <c r="E152" s="1206"/>
      <c r="F152" s="1206"/>
      <c r="G152" s="1206"/>
      <c r="H152" s="1207"/>
      <c r="I152" s="1207"/>
      <c r="J152" s="1203" t="str">
        <f>"(Col. "&amp;L124&amp;", Line "&amp;B140&amp;" )"</f>
        <v>(Col. (H), Line 86 )</v>
      </c>
      <c r="K152" s="1208"/>
      <c r="L152" s="943">
        <f>L140</f>
        <v>0</v>
      </c>
      <c r="M152" s="1207"/>
      <c r="N152" s="1203" t="str">
        <f>"(Col. "&amp;R124&amp;", Line "&amp;B140&amp;" )"</f>
        <v>(Col. (M), Line 86 )</v>
      </c>
      <c r="R152" s="943">
        <f>R140</f>
        <v>0</v>
      </c>
    </row>
    <row r="153" spans="2:19" ht="13.5" thickBot="1">
      <c r="B153" s="1196">
        <f>B152+1</f>
        <v>96</v>
      </c>
      <c r="D153" s="1212" t="s">
        <v>1129</v>
      </c>
      <c r="E153" s="1206"/>
      <c r="F153" s="1206"/>
      <c r="G153" s="1206"/>
      <c r="H153" s="1207"/>
      <c r="I153" s="1207"/>
      <c r="J153" s="1203" t="str">
        <f>"(Col. "&amp;L124&amp;", Line "&amp;B151&amp;" + Line "&amp;B152&amp;")"</f>
        <v>(Col. (H), Line 94 + Line 95)</v>
      </c>
      <c r="K153" s="1208"/>
      <c r="L153" s="951">
        <f>L151+L152</f>
        <v>0</v>
      </c>
      <c r="M153" s="1207"/>
      <c r="N153" s="1203" t="str">
        <f>"(Col. "&amp;R124&amp;", Line "&amp;B151&amp;" + Line "&amp;B152&amp;")"</f>
        <v>(Col. (M), Line 94 + Line 95)</v>
      </c>
      <c r="R153" s="951">
        <f>R151+R152</f>
        <v>0</v>
      </c>
    </row>
    <row r="154" spans="2:19">
      <c r="I154" s="1207"/>
      <c r="L154" s="943"/>
      <c r="M154" s="1207"/>
      <c r="R154" s="943"/>
      <c r="S154" s="1207"/>
    </row>
    <row r="155" spans="2:19" ht="13">
      <c r="D155" s="1189" t="s">
        <v>1130</v>
      </c>
      <c r="J155" s="1213"/>
      <c r="K155" s="1214"/>
      <c r="L155" s="1214"/>
      <c r="N155" s="1214"/>
      <c r="O155" s="1214"/>
      <c r="P155" s="1214"/>
      <c r="Q155" s="1214"/>
      <c r="R155" s="1214"/>
    </row>
    <row r="156" spans="2:19" ht="13">
      <c r="D156" s="1515" t="s">
        <v>1008</v>
      </c>
      <c r="E156" s="1516"/>
      <c r="F156" s="1516"/>
      <c r="G156" s="1516"/>
      <c r="H156" s="1517"/>
      <c r="I156" s="1197"/>
      <c r="J156" s="1518" t="s">
        <v>1119</v>
      </c>
      <c r="K156" s="1519"/>
      <c r="L156" s="1520"/>
      <c r="M156" s="1197"/>
      <c r="N156" s="1518" t="s">
        <v>1120</v>
      </c>
      <c r="O156" s="1519"/>
      <c r="P156" s="1519"/>
      <c r="Q156" s="1519"/>
      <c r="R156" s="1520"/>
      <c r="S156" s="1197"/>
    </row>
    <row r="157" spans="2:19" ht="13">
      <c r="D157" s="1198" t="s">
        <v>799</v>
      </c>
      <c r="E157" s="1198" t="s">
        <v>800</v>
      </c>
      <c r="F157" s="1198" t="s">
        <v>961</v>
      </c>
      <c r="G157" s="1198" t="s">
        <v>802</v>
      </c>
      <c r="H157" s="1198" t="s">
        <v>962</v>
      </c>
      <c r="I157" s="1197"/>
      <c r="J157" s="1198" t="s">
        <v>804</v>
      </c>
      <c r="K157" s="1198" t="s">
        <v>805</v>
      </c>
      <c r="L157" s="1198" t="s">
        <v>1011</v>
      </c>
      <c r="M157" s="1197"/>
      <c r="N157" s="1198" t="s">
        <v>882</v>
      </c>
      <c r="O157" s="1198" t="s">
        <v>1012</v>
      </c>
      <c r="P157" s="1198" t="s">
        <v>884</v>
      </c>
      <c r="Q157" s="1198" t="s">
        <v>1013</v>
      </c>
      <c r="R157" s="1198" t="s">
        <v>1014</v>
      </c>
      <c r="S157" s="1197"/>
    </row>
    <row r="158" spans="2:19" ht="50">
      <c r="B158" s="1199" t="s">
        <v>898</v>
      </c>
      <c r="D158" s="1200" t="s">
        <v>501</v>
      </c>
      <c r="E158" s="1200" t="s">
        <v>1015</v>
      </c>
      <c r="F158" s="1200" t="s">
        <v>1047</v>
      </c>
      <c r="G158" s="1200" t="s">
        <v>1048</v>
      </c>
      <c r="H158" s="1200" t="s">
        <v>1018</v>
      </c>
      <c r="I158" s="1336"/>
      <c r="J158" s="1200" t="s">
        <v>1019</v>
      </c>
      <c r="K158" s="1200" t="s">
        <v>1020</v>
      </c>
      <c r="L158" s="1200" t="s">
        <v>1021</v>
      </c>
      <c r="M158" s="1336"/>
      <c r="N158" s="1200" t="s">
        <v>1022</v>
      </c>
      <c r="O158" s="1200" t="s">
        <v>1023</v>
      </c>
      <c r="P158" s="1200" t="s">
        <v>1024</v>
      </c>
      <c r="Q158" s="1200" t="s">
        <v>1025</v>
      </c>
      <c r="R158" s="1200" t="s">
        <v>1026</v>
      </c>
      <c r="S158" s="1336"/>
    </row>
    <row r="159" spans="2:19">
      <c r="E159" s="1336"/>
      <c r="F159" s="1336"/>
      <c r="G159" s="1336"/>
      <c r="H159" s="1336"/>
      <c r="I159" s="1336"/>
      <c r="J159" s="1336"/>
      <c r="K159" s="1336"/>
      <c r="L159" s="1336"/>
      <c r="M159" s="1336"/>
      <c r="N159" s="1336"/>
      <c r="O159" s="1336"/>
      <c r="P159" s="1336"/>
      <c r="Q159" s="1336"/>
      <c r="R159" s="1336"/>
      <c r="S159" s="1336"/>
    </row>
    <row r="160" spans="2:19">
      <c r="B160" s="1196">
        <f>B153+1</f>
        <v>97</v>
      </c>
      <c r="D160" s="1190" t="s">
        <v>1121</v>
      </c>
      <c r="E160" s="1336"/>
      <c r="F160" s="1336"/>
      <c r="G160" s="1336"/>
      <c r="H160" s="1336"/>
      <c r="I160" s="1336"/>
      <c r="J160" s="939" t="s">
        <v>1566</v>
      </c>
      <c r="K160" s="1336"/>
      <c r="L160" s="939">
        <v>0</v>
      </c>
      <c r="M160" s="1336"/>
      <c r="N160" s="939" t="s">
        <v>1566</v>
      </c>
      <c r="O160" s="1336"/>
      <c r="P160" s="1336"/>
      <c r="Q160" s="1336"/>
      <c r="R160" s="939">
        <v>0</v>
      </c>
      <c r="S160" s="1336"/>
    </row>
    <row r="161" spans="2:19">
      <c r="E161" s="1336"/>
      <c r="F161" s="1336"/>
      <c r="G161" s="1336"/>
      <c r="H161" s="1336"/>
      <c r="I161" s="1336"/>
      <c r="J161" s="1336"/>
      <c r="K161" s="1336"/>
      <c r="L161" s="1336"/>
      <c r="M161" s="1336"/>
      <c r="N161" s="1336"/>
      <c r="O161" s="1336"/>
      <c r="P161" s="1336"/>
      <c r="Q161" s="1336"/>
      <c r="R161" s="1336"/>
      <c r="S161" s="1336"/>
    </row>
    <row r="162" spans="2:19">
      <c r="B162" s="1196">
        <f>B160+1</f>
        <v>98</v>
      </c>
      <c r="D162" s="1201" t="s">
        <v>1028</v>
      </c>
      <c r="E162" s="939">
        <v>31</v>
      </c>
      <c r="F162" s="940">
        <v>0</v>
      </c>
      <c r="G162" s="940">
        <v>214</v>
      </c>
      <c r="H162" s="941">
        <f t="shared" ref="H162:H173" si="41">IF(F162=0,0.5,F162/G162)</f>
        <v>0.5</v>
      </c>
      <c r="I162" s="942"/>
      <c r="J162" s="939">
        <v>0</v>
      </c>
      <c r="K162" s="943">
        <f t="shared" ref="K162:K173" si="42">+J162*H162</f>
        <v>0</v>
      </c>
      <c r="L162" s="943">
        <f>+K162+L160</f>
        <v>0</v>
      </c>
      <c r="M162" s="942"/>
      <c r="N162" s="939">
        <v>0</v>
      </c>
      <c r="O162" s="943">
        <f>IF($D$237="True-Up Adjustment",N162-J162,0)</f>
        <v>0</v>
      </c>
      <c r="P162" s="943">
        <f>IF($D$237="True-Up Adjustment",IF(AND(J162&gt;=0,N162&gt;=0),IF(O162&gt;=0,K162+O162,N162/J162*K162),IF(AND(J162&lt;0,N162&lt;0),IF(O162&lt;0,K162+O162,N162/J162*K162),0)),0)</f>
        <v>0</v>
      </c>
      <c r="Q162" s="943">
        <f t="shared" ref="Q162:Q173" si="43">IF(AND(J162&gt;=0,N162&lt;0),N162,IF(AND(J162&lt;0,N162&gt;=0),N162,0))</f>
        <v>0</v>
      </c>
      <c r="R162" s="943">
        <f>R160+P162+Q162</f>
        <v>0</v>
      </c>
      <c r="S162" s="942"/>
    </row>
    <row r="163" spans="2:19">
      <c r="B163" s="1196">
        <f t="shared" ref="B163:B174" si="44">+B162+1</f>
        <v>99</v>
      </c>
      <c r="D163" s="1201" t="s">
        <v>1029</v>
      </c>
      <c r="E163" s="939">
        <v>28</v>
      </c>
      <c r="F163" s="940">
        <v>0</v>
      </c>
      <c r="G163" s="940">
        <f t="shared" ref="G163:G173" si="45">G162</f>
        <v>214</v>
      </c>
      <c r="H163" s="941">
        <f t="shared" si="41"/>
        <v>0.5</v>
      </c>
      <c r="I163" s="942"/>
      <c r="J163" s="939">
        <v>0</v>
      </c>
      <c r="K163" s="943">
        <f t="shared" si="42"/>
        <v>0</v>
      </c>
      <c r="L163" s="943">
        <f t="shared" ref="L163:L173" si="46">+K163+L162</f>
        <v>0</v>
      </c>
      <c r="M163" s="942"/>
      <c r="N163" s="939">
        <v>0</v>
      </c>
      <c r="O163" s="943">
        <f t="shared" ref="O163:O173" si="47">IF($D$237="True-Up Adjustment",N163-J163,0)</f>
        <v>0</v>
      </c>
      <c r="P163" s="943">
        <f t="shared" ref="P163:P173" si="48">IF($D$237="True-Up Adjustment",IF(AND(J163&gt;=0,N163&gt;=0),IF(O163&gt;=0,K163+O163,N163/J163*K163),IF(AND(J163&lt;0,N163&lt;0),IF(O163&lt;0,K163+O163,N163/J163*K163),0)),0)</f>
        <v>0</v>
      </c>
      <c r="Q163" s="943">
        <f t="shared" si="43"/>
        <v>0</v>
      </c>
      <c r="R163" s="943">
        <f t="shared" ref="R163:R173" si="49">R162+P163+Q163</f>
        <v>0</v>
      </c>
      <c r="S163" s="942"/>
    </row>
    <row r="164" spans="2:19">
      <c r="B164" s="1196">
        <f t="shared" si="44"/>
        <v>100</v>
      </c>
      <c r="D164" s="1201" t="s">
        <v>1030</v>
      </c>
      <c r="E164" s="939">
        <v>31</v>
      </c>
      <c r="F164" s="940">
        <v>0</v>
      </c>
      <c r="G164" s="940">
        <f t="shared" si="45"/>
        <v>214</v>
      </c>
      <c r="H164" s="941">
        <f t="shared" si="41"/>
        <v>0.5</v>
      </c>
      <c r="I164" s="942"/>
      <c r="J164" s="939">
        <v>0</v>
      </c>
      <c r="K164" s="943">
        <f t="shared" si="42"/>
        <v>0</v>
      </c>
      <c r="L164" s="943">
        <f t="shared" si="46"/>
        <v>0</v>
      </c>
      <c r="M164" s="942"/>
      <c r="N164" s="939">
        <v>0</v>
      </c>
      <c r="O164" s="943">
        <f t="shared" si="47"/>
        <v>0</v>
      </c>
      <c r="P164" s="943">
        <f t="shared" si="48"/>
        <v>0</v>
      </c>
      <c r="Q164" s="943">
        <f t="shared" si="43"/>
        <v>0</v>
      </c>
      <c r="R164" s="943">
        <f t="shared" si="49"/>
        <v>0</v>
      </c>
      <c r="S164" s="942"/>
    </row>
    <row r="165" spans="2:19">
      <c r="B165" s="1196">
        <f t="shared" si="44"/>
        <v>101</v>
      </c>
      <c r="D165" s="1201" t="s">
        <v>502</v>
      </c>
      <c r="E165" s="939">
        <v>30</v>
      </c>
      <c r="F165" s="940">
        <v>0</v>
      </c>
      <c r="G165" s="940">
        <f t="shared" si="45"/>
        <v>214</v>
      </c>
      <c r="H165" s="941">
        <f t="shared" si="41"/>
        <v>0.5</v>
      </c>
      <c r="I165" s="942"/>
      <c r="J165" s="939">
        <v>0</v>
      </c>
      <c r="K165" s="943">
        <f t="shared" si="42"/>
        <v>0</v>
      </c>
      <c r="L165" s="943">
        <f t="shared" si="46"/>
        <v>0</v>
      </c>
      <c r="M165" s="942"/>
      <c r="N165" s="939">
        <v>0</v>
      </c>
      <c r="O165" s="943">
        <f t="shared" si="47"/>
        <v>0</v>
      </c>
      <c r="P165" s="943">
        <f t="shared" si="48"/>
        <v>0</v>
      </c>
      <c r="Q165" s="943">
        <f t="shared" si="43"/>
        <v>0</v>
      </c>
      <c r="R165" s="943">
        <f t="shared" si="49"/>
        <v>0</v>
      </c>
      <c r="S165" s="942"/>
    </row>
    <row r="166" spans="2:19">
      <c r="B166" s="1196">
        <f t="shared" si="44"/>
        <v>102</v>
      </c>
      <c r="D166" s="1201" t="s">
        <v>503</v>
      </c>
      <c r="E166" s="939">
        <v>31</v>
      </c>
      <c r="F166" s="940">
        <v>0</v>
      </c>
      <c r="G166" s="940">
        <f t="shared" si="45"/>
        <v>214</v>
      </c>
      <c r="H166" s="941">
        <f t="shared" si="41"/>
        <v>0.5</v>
      </c>
      <c r="I166" s="942"/>
      <c r="J166" s="939">
        <v>0</v>
      </c>
      <c r="K166" s="943">
        <f t="shared" si="42"/>
        <v>0</v>
      </c>
      <c r="L166" s="943">
        <f t="shared" si="46"/>
        <v>0</v>
      </c>
      <c r="M166" s="942"/>
      <c r="N166" s="939">
        <v>0</v>
      </c>
      <c r="O166" s="943">
        <f t="shared" si="47"/>
        <v>0</v>
      </c>
      <c r="P166" s="943">
        <f t="shared" si="48"/>
        <v>0</v>
      </c>
      <c r="Q166" s="943">
        <f t="shared" si="43"/>
        <v>0</v>
      </c>
      <c r="R166" s="943">
        <f t="shared" si="49"/>
        <v>0</v>
      </c>
      <c r="S166" s="942"/>
    </row>
    <row r="167" spans="2:19">
      <c r="B167" s="1196">
        <f t="shared" si="44"/>
        <v>103</v>
      </c>
      <c r="D167" s="1201" t="s">
        <v>504</v>
      </c>
      <c r="E167" s="939">
        <v>30</v>
      </c>
      <c r="F167" s="940">
        <f t="shared" ref="F167:F172" si="50">E168+F168</f>
        <v>185</v>
      </c>
      <c r="G167" s="940">
        <f t="shared" si="45"/>
        <v>214</v>
      </c>
      <c r="H167" s="941">
        <f t="shared" si="41"/>
        <v>0.86448598130841126</v>
      </c>
      <c r="I167" s="942"/>
      <c r="J167" s="939">
        <v>0</v>
      </c>
      <c r="K167" s="943">
        <f t="shared" si="42"/>
        <v>0</v>
      </c>
      <c r="L167" s="943">
        <f t="shared" si="46"/>
        <v>0</v>
      </c>
      <c r="M167" s="942"/>
      <c r="N167" s="939">
        <v>0</v>
      </c>
      <c r="O167" s="943">
        <f t="shared" si="47"/>
        <v>0</v>
      </c>
      <c r="P167" s="943">
        <f t="shared" si="48"/>
        <v>0</v>
      </c>
      <c r="Q167" s="943">
        <f t="shared" si="43"/>
        <v>0</v>
      </c>
      <c r="R167" s="943">
        <f t="shared" si="49"/>
        <v>0</v>
      </c>
      <c r="S167" s="942"/>
    </row>
    <row r="168" spans="2:19">
      <c r="B168" s="1196">
        <f t="shared" si="44"/>
        <v>104</v>
      </c>
      <c r="D168" s="1201" t="s">
        <v>1031</v>
      </c>
      <c r="E168" s="939">
        <v>31</v>
      </c>
      <c r="F168" s="940">
        <f t="shared" si="50"/>
        <v>154</v>
      </c>
      <c r="G168" s="940">
        <f t="shared" si="45"/>
        <v>214</v>
      </c>
      <c r="H168" s="941">
        <f t="shared" si="41"/>
        <v>0.71962616822429903</v>
      </c>
      <c r="I168" s="942"/>
      <c r="J168" s="939">
        <v>0</v>
      </c>
      <c r="K168" s="943">
        <f t="shared" si="42"/>
        <v>0</v>
      </c>
      <c r="L168" s="943">
        <f t="shared" si="46"/>
        <v>0</v>
      </c>
      <c r="M168" s="942"/>
      <c r="N168" s="939">
        <v>0</v>
      </c>
      <c r="O168" s="943">
        <f t="shared" si="47"/>
        <v>0</v>
      </c>
      <c r="P168" s="943">
        <f t="shared" si="48"/>
        <v>0</v>
      </c>
      <c r="Q168" s="943">
        <f t="shared" si="43"/>
        <v>0</v>
      </c>
      <c r="R168" s="943">
        <f t="shared" si="49"/>
        <v>0</v>
      </c>
      <c r="S168" s="942"/>
    </row>
    <row r="169" spans="2:19">
      <c r="B169" s="1196">
        <f t="shared" si="44"/>
        <v>105</v>
      </c>
      <c r="D169" s="1201" t="s">
        <v>1032</v>
      </c>
      <c r="E169" s="939">
        <v>31</v>
      </c>
      <c r="F169" s="940">
        <f t="shared" si="50"/>
        <v>123</v>
      </c>
      <c r="G169" s="940">
        <f t="shared" si="45"/>
        <v>214</v>
      </c>
      <c r="H169" s="941">
        <f t="shared" si="41"/>
        <v>0.57476635514018692</v>
      </c>
      <c r="I169" s="942"/>
      <c r="J169" s="939">
        <v>0</v>
      </c>
      <c r="K169" s="943">
        <f t="shared" si="42"/>
        <v>0</v>
      </c>
      <c r="L169" s="943">
        <f t="shared" si="46"/>
        <v>0</v>
      </c>
      <c r="M169" s="942"/>
      <c r="N169" s="939">
        <v>0</v>
      </c>
      <c r="O169" s="943">
        <f t="shared" si="47"/>
        <v>0</v>
      </c>
      <c r="P169" s="943">
        <f t="shared" si="48"/>
        <v>0</v>
      </c>
      <c r="Q169" s="943">
        <f t="shared" si="43"/>
        <v>0</v>
      </c>
      <c r="R169" s="943">
        <f t="shared" si="49"/>
        <v>0</v>
      </c>
      <c r="S169" s="942"/>
    </row>
    <row r="170" spans="2:19">
      <c r="B170" s="1196">
        <f t="shared" si="44"/>
        <v>106</v>
      </c>
      <c r="D170" s="1201" t="s">
        <v>1033</v>
      </c>
      <c r="E170" s="939">
        <v>30</v>
      </c>
      <c r="F170" s="940">
        <f t="shared" si="50"/>
        <v>93</v>
      </c>
      <c r="G170" s="940">
        <f t="shared" si="45"/>
        <v>214</v>
      </c>
      <c r="H170" s="941">
        <f t="shared" si="41"/>
        <v>0.43457943925233644</v>
      </c>
      <c r="I170" s="942"/>
      <c r="J170" s="939">
        <v>0</v>
      </c>
      <c r="K170" s="943">
        <f t="shared" si="42"/>
        <v>0</v>
      </c>
      <c r="L170" s="943">
        <f t="shared" si="46"/>
        <v>0</v>
      </c>
      <c r="M170" s="942"/>
      <c r="N170" s="939">
        <v>0</v>
      </c>
      <c r="O170" s="943">
        <f t="shared" si="47"/>
        <v>0</v>
      </c>
      <c r="P170" s="943">
        <f t="shared" si="48"/>
        <v>0</v>
      </c>
      <c r="Q170" s="943">
        <f t="shared" si="43"/>
        <v>0</v>
      </c>
      <c r="R170" s="943">
        <f t="shared" si="49"/>
        <v>0</v>
      </c>
      <c r="S170" s="942"/>
    </row>
    <row r="171" spans="2:19">
      <c r="B171" s="1196">
        <f t="shared" si="44"/>
        <v>107</v>
      </c>
      <c r="D171" s="1201" t="s">
        <v>1034</v>
      </c>
      <c r="E171" s="939">
        <v>31</v>
      </c>
      <c r="F171" s="940">
        <f t="shared" si="50"/>
        <v>62</v>
      </c>
      <c r="G171" s="940">
        <f t="shared" si="45"/>
        <v>214</v>
      </c>
      <c r="H171" s="941">
        <f t="shared" si="41"/>
        <v>0.28971962616822428</v>
      </c>
      <c r="I171" s="942"/>
      <c r="J171" s="939">
        <v>0</v>
      </c>
      <c r="K171" s="943">
        <f t="shared" si="42"/>
        <v>0</v>
      </c>
      <c r="L171" s="943">
        <f t="shared" si="46"/>
        <v>0</v>
      </c>
      <c r="M171" s="942"/>
      <c r="N171" s="939">
        <v>0</v>
      </c>
      <c r="O171" s="943">
        <f t="shared" si="47"/>
        <v>0</v>
      </c>
      <c r="P171" s="943">
        <f t="shared" si="48"/>
        <v>0</v>
      </c>
      <c r="Q171" s="943">
        <f t="shared" si="43"/>
        <v>0</v>
      </c>
      <c r="R171" s="943">
        <f t="shared" si="49"/>
        <v>0</v>
      </c>
      <c r="S171" s="942"/>
    </row>
    <row r="172" spans="2:19">
      <c r="B172" s="1196">
        <f t="shared" si="44"/>
        <v>108</v>
      </c>
      <c r="D172" s="1201" t="s">
        <v>1035</v>
      </c>
      <c r="E172" s="939">
        <v>30</v>
      </c>
      <c r="F172" s="940">
        <f t="shared" si="50"/>
        <v>32</v>
      </c>
      <c r="G172" s="940">
        <f t="shared" si="45"/>
        <v>214</v>
      </c>
      <c r="H172" s="941">
        <f t="shared" si="41"/>
        <v>0.14953271028037382</v>
      </c>
      <c r="I172" s="942"/>
      <c r="J172" s="939">
        <v>0</v>
      </c>
      <c r="K172" s="943">
        <f t="shared" si="42"/>
        <v>0</v>
      </c>
      <c r="L172" s="943">
        <f t="shared" si="46"/>
        <v>0</v>
      </c>
      <c r="M172" s="942"/>
      <c r="N172" s="939">
        <v>0</v>
      </c>
      <c r="O172" s="943">
        <f t="shared" si="47"/>
        <v>0</v>
      </c>
      <c r="P172" s="943">
        <f t="shared" si="48"/>
        <v>0</v>
      </c>
      <c r="Q172" s="943">
        <f t="shared" si="43"/>
        <v>0</v>
      </c>
      <c r="R172" s="943">
        <f t="shared" si="49"/>
        <v>0</v>
      </c>
      <c r="S172" s="942"/>
    </row>
    <row r="173" spans="2:19">
      <c r="B173" s="1196">
        <f t="shared" si="44"/>
        <v>109</v>
      </c>
      <c r="D173" s="1202" t="s">
        <v>1036</v>
      </c>
      <c r="E173" s="939">
        <v>31</v>
      </c>
      <c r="F173" s="944">
        <v>1</v>
      </c>
      <c r="G173" s="940">
        <f t="shared" si="45"/>
        <v>214</v>
      </c>
      <c r="H173" s="941">
        <f t="shared" si="41"/>
        <v>4.6728971962616819E-3</v>
      </c>
      <c r="I173" s="942"/>
      <c r="J173" s="939">
        <v>0</v>
      </c>
      <c r="K173" s="943">
        <f t="shared" si="42"/>
        <v>0</v>
      </c>
      <c r="L173" s="943">
        <f t="shared" si="46"/>
        <v>0</v>
      </c>
      <c r="M173" s="942"/>
      <c r="N173" s="939">
        <v>0</v>
      </c>
      <c r="O173" s="943">
        <f t="shared" si="47"/>
        <v>0</v>
      </c>
      <c r="P173" s="943">
        <f t="shared" si="48"/>
        <v>0</v>
      </c>
      <c r="Q173" s="943">
        <f t="shared" si="43"/>
        <v>0</v>
      </c>
      <c r="R173" s="943">
        <f t="shared" si="49"/>
        <v>0</v>
      </c>
      <c r="S173" s="942"/>
    </row>
    <row r="174" spans="2:19">
      <c r="B174" s="1196">
        <f t="shared" si="44"/>
        <v>110</v>
      </c>
      <c r="D174" s="1203" t="str">
        <f>"Total (Sum of Lines "&amp;B162&amp;" - "&amp;B173&amp;")"</f>
        <v>Total (Sum of Lines 98 - 109)</v>
      </c>
      <c r="E174" s="945">
        <f>SUM(E162:E173)</f>
        <v>365</v>
      </c>
      <c r="F174" s="1204"/>
      <c r="G174" s="1204"/>
      <c r="H174" s="1205"/>
      <c r="I174" s="946"/>
      <c r="J174" s="945">
        <f>SUM(J162:J173)</f>
        <v>0</v>
      </c>
      <c r="K174" s="945">
        <f>SUM(K162:K173)</f>
        <v>0</v>
      </c>
      <c r="L174" s="945"/>
      <c r="M174" s="946"/>
      <c r="N174" s="945">
        <f>SUM(N162:N173)</f>
        <v>0</v>
      </c>
      <c r="O174" s="945">
        <f>SUM(O162:O173)</f>
        <v>0</v>
      </c>
      <c r="P174" s="945">
        <f>SUM(P162:P173)</f>
        <v>0</v>
      </c>
      <c r="Q174" s="945">
        <f>SUM(Q162:Q173)</f>
        <v>0</v>
      </c>
      <c r="R174" s="947"/>
      <c r="S174" s="946"/>
    </row>
    <row r="175" spans="2:19">
      <c r="D175" s="1206"/>
      <c r="E175" s="1206"/>
      <c r="F175" s="1206"/>
      <c r="G175" s="1206"/>
      <c r="H175" s="1207"/>
      <c r="I175" s="1207"/>
      <c r="K175" s="1208"/>
      <c r="L175" s="1207"/>
      <c r="M175" s="1207"/>
      <c r="N175" s="1215"/>
      <c r="O175" s="1208"/>
      <c r="P175" s="1208"/>
      <c r="Q175" s="1208"/>
      <c r="R175" s="1207"/>
      <c r="S175" s="1207"/>
    </row>
    <row r="176" spans="2:19" ht="15" customHeight="1">
      <c r="B176" s="1196">
        <f>B174+1</f>
        <v>111</v>
      </c>
      <c r="D176" s="1190" t="s">
        <v>1122</v>
      </c>
      <c r="I176" s="1207"/>
      <c r="J176" s="939" t="s">
        <v>1566</v>
      </c>
      <c r="L176" s="939">
        <v>0</v>
      </c>
      <c r="M176" s="1209"/>
      <c r="N176" s="939" t="s">
        <v>1566</v>
      </c>
      <c r="R176" s="939">
        <v>0</v>
      </c>
    </row>
    <row r="177" spans="2:19">
      <c r="B177" s="1196">
        <f>B176+1</f>
        <v>112</v>
      </c>
      <c r="D177" s="1190" t="s">
        <v>1123</v>
      </c>
      <c r="I177" s="1207"/>
      <c r="J177" s="1210" t="s">
        <v>1039</v>
      </c>
      <c r="L177" s="949">
        <v>0</v>
      </c>
      <c r="M177" s="1211"/>
      <c r="N177" s="1210"/>
      <c r="R177" s="949">
        <v>0</v>
      </c>
    </row>
    <row r="178" spans="2:19">
      <c r="B178" s="1196">
        <f>B177+1</f>
        <v>113</v>
      </c>
      <c r="D178" s="1190" t="s">
        <v>1124</v>
      </c>
      <c r="I178" s="1207"/>
      <c r="J178" s="1203" t="str">
        <f>"(Col. "&amp;L157&amp;", Line "&amp;B176&amp;" + Line "&amp;B177&amp;")"</f>
        <v>(Col. (H), Line 111 + Line 112)</v>
      </c>
      <c r="L178" s="950">
        <f>L176+L177</f>
        <v>0</v>
      </c>
      <c r="M178" s="1207"/>
      <c r="N178" s="1203" t="str">
        <f>"(Col. "&amp;R157&amp;", Line "&amp;B176&amp;" + Line "&amp;B177&amp;")"</f>
        <v>(Col. (M), Line 111 + Line 112)</v>
      </c>
      <c r="R178" s="950">
        <f>R176+R177</f>
        <v>0</v>
      </c>
    </row>
    <row r="179" spans="2:19">
      <c r="I179" s="1207"/>
      <c r="L179" s="950"/>
      <c r="M179" s="1207"/>
      <c r="R179" s="950"/>
    </row>
    <row r="180" spans="2:19">
      <c r="B180" s="1196">
        <f>B178+1</f>
        <v>114</v>
      </c>
      <c r="D180" s="1190" t="s">
        <v>1125</v>
      </c>
      <c r="I180" s="1207"/>
      <c r="J180" s="939" t="s">
        <v>1595</v>
      </c>
      <c r="L180" s="939">
        <v>0</v>
      </c>
      <c r="M180" s="1209"/>
      <c r="N180" s="939" t="s">
        <v>1594</v>
      </c>
      <c r="R180" s="939">
        <v>0</v>
      </c>
    </row>
    <row r="181" spans="2:19">
      <c r="B181" s="1196">
        <f>B180+1</f>
        <v>115</v>
      </c>
      <c r="D181" s="1190" t="s">
        <v>1126</v>
      </c>
      <c r="I181" s="1207"/>
      <c r="J181" s="1210" t="s">
        <v>1039</v>
      </c>
      <c r="L181" s="949">
        <v>0</v>
      </c>
      <c r="M181" s="1207"/>
      <c r="N181" s="1210"/>
      <c r="R181" s="949">
        <v>0</v>
      </c>
    </row>
    <row r="182" spans="2:19">
      <c r="B182" s="1196">
        <f>B181+1</f>
        <v>116</v>
      </c>
      <c r="D182" s="1190" t="s">
        <v>1127</v>
      </c>
      <c r="I182" s="1207"/>
      <c r="J182" s="1203" t="str">
        <f>"(Col. "&amp;L157&amp;", Line "&amp;B180&amp;" + Line "&amp;B181&amp;")"</f>
        <v>(Col. (H), Line 114 + Line 115)</v>
      </c>
      <c r="L182" s="950">
        <f>L180+L181</f>
        <v>0</v>
      </c>
      <c r="M182" s="1207"/>
      <c r="N182" s="1203" t="str">
        <f>"(Col. "&amp;R157&amp;", Line "&amp;B180&amp;" + Line "&amp;B181&amp;")"</f>
        <v>(Col. (M), Line 114 + Line 115)</v>
      </c>
      <c r="R182" s="950">
        <f>R180+R181</f>
        <v>0</v>
      </c>
    </row>
    <row r="183" spans="2:19">
      <c r="I183" s="1207"/>
      <c r="L183" s="950"/>
      <c r="M183" s="1207"/>
      <c r="R183" s="950"/>
    </row>
    <row r="184" spans="2:19">
      <c r="B184" s="1196">
        <f>B182+1</f>
        <v>117</v>
      </c>
      <c r="D184" s="1190" t="s">
        <v>1044</v>
      </c>
      <c r="I184" s="1207"/>
      <c r="J184" s="1203" t="str">
        <f>"([Col. "&amp;L157&amp;", Line "&amp;B178&amp;" + Line "&amp;B182&amp;"] /2)"</f>
        <v>([Col. (H), Line 113 + Line 116] /2)</v>
      </c>
      <c r="L184" s="943">
        <f>(L178+L182)/2</f>
        <v>0</v>
      </c>
      <c r="M184" s="1207"/>
      <c r="N184" s="1203" t="str">
        <f>"([Col. "&amp;R157&amp;", Line "&amp;B178&amp;" + Line "&amp;B182&amp;"] /2)"</f>
        <v>([Col. (M), Line 113 + Line 116] /2)</v>
      </c>
      <c r="R184" s="943">
        <f>(R178+R182)/2</f>
        <v>0</v>
      </c>
    </row>
    <row r="185" spans="2:19">
      <c r="B185" s="1196">
        <f>B184+1</f>
        <v>118</v>
      </c>
      <c r="D185" s="1243" t="s">
        <v>1128</v>
      </c>
      <c r="E185" s="1206"/>
      <c r="F185" s="1206"/>
      <c r="G185" s="1206"/>
      <c r="H185" s="1207"/>
      <c r="I185" s="1207"/>
      <c r="J185" s="1203" t="str">
        <f>"(Col. "&amp;L157&amp;", Line "&amp;B173&amp;" )"</f>
        <v>(Col. (H), Line 109 )</v>
      </c>
      <c r="K185" s="1208"/>
      <c r="L185" s="943">
        <f>L173</f>
        <v>0</v>
      </c>
      <c r="M185" s="1207"/>
      <c r="N185" s="1203" t="str">
        <f>"(Col. "&amp;R157&amp;", Line "&amp;B173&amp;" )"</f>
        <v>(Col. (M), Line 109 )</v>
      </c>
      <c r="R185" s="943">
        <f>R173</f>
        <v>0</v>
      </c>
    </row>
    <row r="186" spans="2:19" ht="13.5" thickBot="1">
      <c r="B186" s="1196">
        <f>B185+1</f>
        <v>119</v>
      </c>
      <c r="D186" s="1212" t="s">
        <v>1131</v>
      </c>
      <c r="E186" s="1206"/>
      <c r="F186" s="1206"/>
      <c r="G186" s="1206"/>
      <c r="H186" s="1207"/>
      <c r="I186" s="1207"/>
      <c r="J186" s="1203" t="str">
        <f>"(Col. "&amp;L157&amp;", Line "&amp;B184&amp;" + Line "&amp;B185&amp;")"</f>
        <v>(Col. (H), Line 117 + Line 118)</v>
      </c>
      <c r="K186" s="1208"/>
      <c r="L186" s="951">
        <f>L184+L185</f>
        <v>0</v>
      </c>
      <c r="M186" s="1207"/>
      <c r="N186" s="1203" t="str">
        <f>"(Col. "&amp;R157&amp;", Line "&amp;B184&amp;" + Line "&amp;B185&amp;")"</f>
        <v>(Col. (M), Line 117 + Line 118)</v>
      </c>
      <c r="R186" s="951">
        <f>R184+R185</f>
        <v>0</v>
      </c>
    </row>
    <row r="187" spans="2:19" ht="13">
      <c r="D187" s="1189"/>
    </row>
    <row r="188" spans="2:19" ht="13">
      <c r="D188" s="1189" t="s">
        <v>1132</v>
      </c>
      <c r="J188" s="1522"/>
      <c r="K188" s="1522"/>
      <c r="L188" s="1522"/>
      <c r="N188" s="1522"/>
      <c r="O188" s="1522"/>
      <c r="P188" s="1522"/>
      <c r="Q188" s="1522"/>
      <c r="R188" s="1522"/>
    </row>
    <row r="189" spans="2:19" ht="13">
      <c r="D189" s="1515" t="s">
        <v>1008</v>
      </c>
      <c r="E189" s="1516"/>
      <c r="F189" s="1516"/>
      <c r="G189" s="1516"/>
      <c r="H189" s="1517"/>
      <c r="I189" s="1197"/>
      <c r="J189" s="1518" t="s">
        <v>1119</v>
      </c>
      <c r="K189" s="1519"/>
      <c r="L189" s="1520"/>
      <c r="M189" s="1197"/>
      <c r="N189" s="1518" t="s">
        <v>1120</v>
      </c>
      <c r="O189" s="1519"/>
      <c r="P189" s="1519"/>
      <c r="Q189" s="1519"/>
      <c r="R189" s="1520"/>
      <c r="S189" s="1197"/>
    </row>
    <row r="190" spans="2:19" ht="13">
      <c r="D190" s="1198" t="s">
        <v>799</v>
      </c>
      <c r="E190" s="1198" t="s">
        <v>800</v>
      </c>
      <c r="F190" s="1198" t="s">
        <v>961</v>
      </c>
      <c r="G190" s="1198" t="s">
        <v>802</v>
      </c>
      <c r="H190" s="1198" t="s">
        <v>962</v>
      </c>
      <c r="I190" s="1197"/>
      <c r="J190" s="1198" t="s">
        <v>804</v>
      </c>
      <c r="K190" s="1198" t="s">
        <v>805</v>
      </c>
      <c r="L190" s="1198" t="s">
        <v>1011</v>
      </c>
      <c r="M190" s="1197"/>
      <c r="N190" s="1198" t="s">
        <v>882</v>
      </c>
      <c r="O190" s="1198" t="s">
        <v>1012</v>
      </c>
      <c r="P190" s="1198" t="s">
        <v>884</v>
      </c>
      <c r="Q190" s="1198" t="s">
        <v>1013</v>
      </c>
      <c r="R190" s="1198" t="s">
        <v>1014</v>
      </c>
      <c r="S190" s="1197"/>
    </row>
    <row r="191" spans="2:19" ht="50">
      <c r="B191" s="1199" t="s">
        <v>898</v>
      </c>
      <c r="D191" s="1200" t="s">
        <v>501</v>
      </c>
      <c r="E191" s="1200" t="s">
        <v>1015</v>
      </c>
      <c r="F191" s="1200" t="s">
        <v>1047</v>
      </c>
      <c r="G191" s="1200" t="s">
        <v>1048</v>
      </c>
      <c r="H191" s="1200" t="s">
        <v>1018</v>
      </c>
      <c r="I191" s="1336"/>
      <c r="J191" s="1200" t="s">
        <v>1019</v>
      </c>
      <c r="K191" s="1200" t="s">
        <v>1020</v>
      </c>
      <c r="L191" s="1200" t="s">
        <v>1021</v>
      </c>
      <c r="M191" s="1336"/>
      <c r="N191" s="1200" t="s">
        <v>1022</v>
      </c>
      <c r="O191" s="1200" t="s">
        <v>1023</v>
      </c>
      <c r="P191" s="1200" t="s">
        <v>1024</v>
      </c>
      <c r="Q191" s="1200" t="s">
        <v>1025</v>
      </c>
      <c r="R191" s="1200" t="s">
        <v>1026</v>
      </c>
      <c r="S191" s="1336"/>
    </row>
    <row r="192" spans="2:19">
      <c r="E192" s="1336"/>
      <c r="F192" s="1336"/>
      <c r="G192" s="1336"/>
      <c r="H192" s="1336"/>
      <c r="I192" s="1336"/>
      <c r="J192" s="1336"/>
      <c r="K192" s="1336"/>
      <c r="L192" s="1336"/>
      <c r="M192" s="1336"/>
      <c r="N192" s="1336"/>
      <c r="O192" s="1336"/>
      <c r="P192" s="1336"/>
      <c r="Q192" s="1336"/>
      <c r="R192" s="1336"/>
      <c r="S192" s="1336"/>
    </row>
    <row r="193" spans="2:19">
      <c r="B193" s="1196">
        <f>B186+1</f>
        <v>120</v>
      </c>
      <c r="D193" s="1190" t="s">
        <v>1027</v>
      </c>
      <c r="E193" s="1336"/>
      <c r="F193" s="1336"/>
      <c r="G193" s="1336"/>
      <c r="H193" s="1336"/>
      <c r="I193" s="1336"/>
      <c r="J193" s="939" t="s">
        <v>1566</v>
      </c>
      <c r="K193" s="1336"/>
      <c r="L193" s="939">
        <v>0</v>
      </c>
      <c r="M193" s="1336"/>
      <c r="N193" s="939" t="s">
        <v>1566</v>
      </c>
      <c r="O193" s="1336"/>
      <c r="P193" s="1336"/>
      <c r="Q193" s="1336"/>
      <c r="R193" s="939">
        <v>0</v>
      </c>
      <c r="S193" s="1336"/>
    </row>
    <row r="194" spans="2:19">
      <c r="E194" s="1336"/>
      <c r="F194" s="1336"/>
      <c r="G194" s="1336"/>
      <c r="H194" s="1336"/>
      <c r="I194" s="1336"/>
      <c r="J194" s="1336"/>
      <c r="K194" s="1336"/>
      <c r="L194" s="1336"/>
      <c r="M194" s="1336"/>
      <c r="N194" s="1336"/>
      <c r="O194" s="1336"/>
      <c r="P194" s="1336"/>
      <c r="Q194" s="1336"/>
      <c r="R194" s="1336"/>
      <c r="S194" s="1336"/>
    </row>
    <row r="195" spans="2:19">
      <c r="B195" s="1196">
        <f>B193+1</f>
        <v>121</v>
      </c>
      <c r="D195" s="1201" t="s">
        <v>1028</v>
      </c>
      <c r="E195" s="939">
        <v>31</v>
      </c>
      <c r="F195" s="940">
        <v>0</v>
      </c>
      <c r="G195" s="940">
        <v>214</v>
      </c>
      <c r="H195" s="941">
        <f t="shared" ref="H195:H206" si="51">IF(F195=0,0.5,F195/G195)</f>
        <v>0.5</v>
      </c>
      <c r="I195" s="942"/>
      <c r="J195" s="939">
        <v>0</v>
      </c>
      <c r="K195" s="943">
        <f t="shared" ref="K195:K206" si="52">+J195*H195</f>
        <v>0</v>
      </c>
      <c r="L195" s="943">
        <f>+K195</f>
        <v>0</v>
      </c>
      <c r="M195" s="942"/>
      <c r="N195" s="939">
        <v>0</v>
      </c>
      <c r="O195" s="943">
        <f>IF($D$237="True-Up Adjustment",N195-J195,0)</f>
        <v>0</v>
      </c>
      <c r="P195" s="943">
        <f>IF($D$237="True-Up Adjustment",IF(AND(J195&gt;=0,N195&gt;=0),IF(O195&gt;=0,K195+O195,N195/J195*K195),IF(AND(J195&lt;0,N195&lt;0),IF(O195&lt;0,K195+O195,N195/J195*K195),0)),0)</f>
        <v>0</v>
      </c>
      <c r="Q195" s="943">
        <f t="shared" ref="Q195:Q206" si="53">IF(AND(J195&gt;=0,N195&lt;0),N195,IF(AND(J195&lt;0,N195&gt;=0),N195,0))</f>
        <v>0</v>
      </c>
      <c r="R195" s="943">
        <f>+P195+Q195</f>
        <v>0</v>
      </c>
      <c r="S195" s="942"/>
    </row>
    <row r="196" spans="2:19">
      <c r="B196" s="1196">
        <f t="shared" ref="B196:B207" si="54">+B195+1</f>
        <v>122</v>
      </c>
      <c r="D196" s="1201" t="s">
        <v>1029</v>
      </c>
      <c r="E196" s="939">
        <v>28</v>
      </c>
      <c r="F196" s="940">
        <v>0</v>
      </c>
      <c r="G196" s="940">
        <f t="shared" ref="G196:G206" si="55">G195</f>
        <v>214</v>
      </c>
      <c r="H196" s="941">
        <f t="shared" si="51"/>
        <v>0.5</v>
      </c>
      <c r="I196" s="942"/>
      <c r="J196" s="939">
        <v>0</v>
      </c>
      <c r="K196" s="943">
        <f t="shared" si="52"/>
        <v>0</v>
      </c>
      <c r="L196" s="943">
        <f t="shared" ref="L196:L206" si="56">+K196+L195</f>
        <v>0</v>
      </c>
      <c r="M196" s="942"/>
      <c r="N196" s="939">
        <v>0</v>
      </c>
      <c r="O196" s="943">
        <f t="shared" ref="O196:O206" si="57">IF($D$237="True-Up Adjustment",N196-J196,0)</f>
        <v>0</v>
      </c>
      <c r="P196" s="943">
        <f t="shared" ref="P196:P206" si="58">IF($D$237="True-Up Adjustment",IF(AND(J196&gt;=0,N196&gt;=0),IF(O196&gt;=0,K196+O196,N196/J196*K196),IF(AND(J196&lt;0,N196&lt;0),IF(O196&lt;0,K196+O196,N196/J196*K196),0)),0)</f>
        <v>0</v>
      </c>
      <c r="Q196" s="943">
        <f t="shared" si="53"/>
        <v>0</v>
      </c>
      <c r="R196" s="943">
        <f t="shared" ref="R196:R206" si="59">R195+P196+Q196</f>
        <v>0</v>
      </c>
      <c r="S196" s="942"/>
    </row>
    <row r="197" spans="2:19">
      <c r="B197" s="1196">
        <f t="shared" si="54"/>
        <v>123</v>
      </c>
      <c r="D197" s="1201" t="s">
        <v>1030</v>
      </c>
      <c r="E197" s="939">
        <v>31</v>
      </c>
      <c r="F197" s="940">
        <v>0</v>
      </c>
      <c r="G197" s="940">
        <f t="shared" si="55"/>
        <v>214</v>
      </c>
      <c r="H197" s="941">
        <f t="shared" si="51"/>
        <v>0.5</v>
      </c>
      <c r="I197" s="942"/>
      <c r="J197" s="939">
        <v>0</v>
      </c>
      <c r="K197" s="943">
        <f t="shared" si="52"/>
        <v>0</v>
      </c>
      <c r="L197" s="943">
        <f t="shared" si="56"/>
        <v>0</v>
      </c>
      <c r="M197" s="942"/>
      <c r="N197" s="939">
        <v>0</v>
      </c>
      <c r="O197" s="943">
        <f t="shared" si="57"/>
        <v>0</v>
      </c>
      <c r="P197" s="943">
        <f t="shared" si="58"/>
        <v>0</v>
      </c>
      <c r="Q197" s="943">
        <f t="shared" si="53"/>
        <v>0</v>
      </c>
      <c r="R197" s="943">
        <f t="shared" si="59"/>
        <v>0</v>
      </c>
      <c r="S197" s="942"/>
    </row>
    <row r="198" spans="2:19">
      <c r="B198" s="1196">
        <f t="shared" si="54"/>
        <v>124</v>
      </c>
      <c r="D198" s="1201" t="s">
        <v>502</v>
      </c>
      <c r="E198" s="939">
        <v>30</v>
      </c>
      <c r="F198" s="940">
        <v>0</v>
      </c>
      <c r="G198" s="940">
        <f t="shared" si="55"/>
        <v>214</v>
      </c>
      <c r="H198" s="941">
        <f t="shared" si="51"/>
        <v>0.5</v>
      </c>
      <c r="I198" s="942"/>
      <c r="J198" s="939">
        <v>0</v>
      </c>
      <c r="K198" s="943">
        <f t="shared" si="52"/>
        <v>0</v>
      </c>
      <c r="L198" s="943">
        <f t="shared" si="56"/>
        <v>0</v>
      </c>
      <c r="M198" s="942"/>
      <c r="N198" s="939">
        <v>0</v>
      </c>
      <c r="O198" s="943">
        <f t="shared" si="57"/>
        <v>0</v>
      </c>
      <c r="P198" s="943">
        <f t="shared" si="58"/>
        <v>0</v>
      </c>
      <c r="Q198" s="943">
        <f t="shared" si="53"/>
        <v>0</v>
      </c>
      <c r="R198" s="943">
        <f t="shared" si="59"/>
        <v>0</v>
      </c>
      <c r="S198" s="942"/>
    </row>
    <row r="199" spans="2:19">
      <c r="B199" s="1196">
        <f t="shared" si="54"/>
        <v>125</v>
      </c>
      <c r="D199" s="1201" t="s">
        <v>503</v>
      </c>
      <c r="E199" s="939">
        <v>31</v>
      </c>
      <c r="F199" s="940">
        <v>0</v>
      </c>
      <c r="G199" s="940">
        <f t="shared" si="55"/>
        <v>214</v>
      </c>
      <c r="H199" s="941">
        <f t="shared" si="51"/>
        <v>0.5</v>
      </c>
      <c r="I199" s="942"/>
      <c r="J199" s="939">
        <v>0</v>
      </c>
      <c r="K199" s="943">
        <f t="shared" si="52"/>
        <v>0</v>
      </c>
      <c r="L199" s="943">
        <f t="shared" si="56"/>
        <v>0</v>
      </c>
      <c r="M199" s="942"/>
      <c r="N199" s="939">
        <v>0</v>
      </c>
      <c r="O199" s="943">
        <f t="shared" si="57"/>
        <v>0</v>
      </c>
      <c r="P199" s="943">
        <f t="shared" si="58"/>
        <v>0</v>
      </c>
      <c r="Q199" s="943">
        <f t="shared" si="53"/>
        <v>0</v>
      </c>
      <c r="R199" s="943">
        <f t="shared" si="59"/>
        <v>0</v>
      </c>
      <c r="S199" s="942"/>
    </row>
    <row r="200" spans="2:19">
      <c r="B200" s="1196">
        <f t="shared" si="54"/>
        <v>126</v>
      </c>
      <c r="D200" s="1201" t="s">
        <v>504</v>
      </c>
      <c r="E200" s="939">
        <v>30</v>
      </c>
      <c r="F200" s="940">
        <f t="shared" ref="F200:F205" si="60">E201+F201</f>
        <v>185</v>
      </c>
      <c r="G200" s="940">
        <f t="shared" si="55"/>
        <v>214</v>
      </c>
      <c r="H200" s="941">
        <f t="shared" si="51"/>
        <v>0.86448598130841126</v>
      </c>
      <c r="I200" s="942"/>
      <c r="J200" s="939">
        <v>0</v>
      </c>
      <c r="K200" s="943">
        <f t="shared" si="52"/>
        <v>0</v>
      </c>
      <c r="L200" s="943">
        <f t="shared" si="56"/>
        <v>0</v>
      </c>
      <c r="M200" s="942"/>
      <c r="N200" s="939">
        <v>0</v>
      </c>
      <c r="O200" s="943">
        <f t="shared" si="57"/>
        <v>0</v>
      </c>
      <c r="P200" s="943">
        <f t="shared" si="58"/>
        <v>0</v>
      </c>
      <c r="Q200" s="943">
        <f t="shared" si="53"/>
        <v>0</v>
      </c>
      <c r="R200" s="943">
        <f t="shared" si="59"/>
        <v>0</v>
      </c>
      <c r="S200" s="942"/>
    </row>
    <row r="201" spans="2:19">
      <c r="B201" s="1196">
        <f t="shared" si="54"/>
        <v>127</v>
      </c>
      <c r="D201" s="1201" t="s">
        <v>1031</v>
      </c>
      <c r="E201" s="939">
        <v>31</v>
      </c>
      <c r="F201" s="940">
        <f t="shared" si="60"/>
        <v>154</v>
      </c>
      <c r="G201" s="940">
        <f t="shared" si="55"/>
        <v>214</v>
      </c>
      <c r="H201" s="941">
        <f t="shared" si="51"/>
        <v>0.71962616822429903</v>
      </c>
      <c r="I201" s="942"/>
      <c r="J201" s="939">
        <v>0</v>
      </c>
      <c r="K201" s="943">
        <f t="shared" si="52"/>
        <v>0</v>
      </c>
      <c r="L201" s="943">
        <f t="shared" si="56"/>
        <v>0</v>
      </c>
      <c r="M201" s="942"/>
      <c r="N201" s="939">
        <v>0</v>
      </c>
      <c r="O201" s="943">
        <f t="shared" si="57"/>
        <v>0</v>
      </c>
      <c r="P201" s="943">
        <f t="shared" si="58"/>
        <v>0</v>
      </c>
      <c r="Q201" s="943">
        <f t="shared" si="53"/>
        <v>0</v>
      </c>
      <c r="R201" s="943">
        <f t="shared" si="59"/>
        <v>0</v>
      </c>
      <c r="S201" s="942"/>
    </row>
    <row r="202" spans="2:19">
      <c r="B202" s="1196">
        <f t="shared" si="54"/>
        <v>128</v>
      </c>
      <c r="D202" s="1201" t="s">
        <v>1032</v>
      </c>
      <c r="E202" s="939">
        <v>31</v>
      </c>
      <c r="F202" s="940">
        <f t="shared" si="60"/>
        <v>123</v>
      </c>
      <c r="G202" s="940">
        <f t="shared" si="55"/>
        <v>214</v>
      </c>
      <c r="H202" s="941">
        <f t="shared" si="51"/>
        <v>0.57476635514018692</v>
      </c>
      <c r="I202" s="942"/>
      <c r="J202" s="939">
        <v>0</v>
      </c>
      <c r="K202" s="943">
        <f t="shared" si="52"/>
        <v>0</v>
      </c>
      <c r="L202" s="943">
        <f t="shared" si="56"/>
        <v>0</v>
      </c>
      <c r="M202" s="942"/>
      <c r="N202" s="939">
        <v>0</v>
      </c>
      <c r="O202" s="943">
        <f t="shared" si="57"/>
        <v>0</v>
      </c>
      <c r="P202" s="943">
        <f t="shared" si="58"/>
        <v>0</v>
      </c>
      <c r="Q202" s="943">
        <f t="shared" si="53"/>
        <v>0</v>
      </c>
      <c r="R202" s="943">
        <f t="shared" si="59"/>
        <v>0</v>
      </c>
      <c r="S202" s="942"/>
    </row>
    <row r="203" spans="2:19">
      <c r="B203" s="1196">
        <f t="shared" si="54"/>
        <v>129</v>
      </c>
      <c r="D203" s="1201" t="s">
        <v>1033</v>
      </c>
      <c r="E203" s="939">
        <v>30</v>
      </c>
      <c r="F203" s="940">
        <f t="shared" si="60"/>
        <v>93</v>
      </c>
      <c r="G203" s="940">
        <f t="shared" si="55"/>
        <v>214</v>
      </c>
      <c r="H203" s="941">
        <f t="shared" si="51"/>
        <v>0.43457943925233644</v>
      </c>
      <c r="I203" s="942"/>
      <c r="J203" s="939">
        <v>0</v>
      </c>
      <c r="K203" s="943">
        <f t="shared" si="52"/>
        <v>0</v>
      </c>
      <c r="L203" s="943">
        <f t="shared" si="56"/>
        <v>0</v>
      </c>
      <c r="M203" s="942"/>
      <c r="N203" s="939">
        <v>0</v>
      </c>
      <c r="O203" s="943">
        <f t="shared" si="57"/>
        <v>0</v>
      </c>
      <c r="P203" s="943">
        <f t="shared" si="58"/>
        <v>0</v>
      </c>
      <c r="Q203" s="943">
        <f t="shared" si="53"/>
        <v>0</v>
      </c>
      <c r="R203" s="943">
        <f t="shared" si="59"/>
        <v>0</v>
      </c>
      <c r="S203" s="942"/>
    </row>
    <row r="204" spans="2:19">
      <c r="B204" s="1196">
        <f t="shared" si="54"/>
        <v>130</v>
      </c>
      <c r="D204" s="1201" t="s">
        <v>1034</v>
      </c>
      <c r="E204" s="939">
        <v>31</v>
      </c>
      <c r="F204" s="940">
        <f t="shared" si="60"/>
        <v>62</v>
      </c>
      <c r="G204" s="940">
        <f t="shared" si="55"/>
        <v>214</v>
      </c>
      <c r="H204" s="941">
        <f t="shared" si="51"/>
        <v>0.28971962616822428</v>
      </c>
      <c r="I204" s="942"/>
      <c r="J204" s="939">
        <v>0</v>
      </c>
      <c r="K204" s="943">
        <f t="shared" si="52"/>
        <v>0</v>
      </c>
      <c r="L204" s="943">
        <f t="shared" si="56"/>
        <v>0</v>
      </c>
      <c r="M204" s="942"/>
      <c r="N204" s="939">
        <v>0</v>
      </c>
      <c r="O204" s="943">
        <f t="shared" si="57"/>
        <v>0</v>
      </c>
      <c r="P204" s="943">
        <f t="shared" si="58"/>
        <v>0</v>
      </c>
      <c r="Q204" s="943">
        <f t="shared" si="53"/>
        <v>0</v>
      </c>
      <c r="R204" s="943">
        <f t="shared" si="59"/>
        <v>0</v>
      </c>
      <c r="S204" s="942"/>
    </row>
    <row r="205" spans="2:19">
      <c r="B205" s="1196">
        <f t="shared" si="54"/>
        <v>131</v>
      </c>
      <c r="D205" s="1201" t="s">
        <v>1035</v>
      </c>
      <c r="E205" s="939">
        <v>30</v>
      </c>
      <c r="F205" s="940">
        <f t="shared" si="60"/>
        <v>32</v>
      </c>
      <c r="G205" s="940">
        <f t="shared" si="55"/>
        <v>214</v>
      </c>
      <c r="H205" s="941">
        <f t="shared" si="51"/>
        <v>0.14953271028037382</v>
      </c>
      <c r="I205" s="942"/>
      <c r="J205" s="939">
        <v>0</v>
      </c>
      <c r="K205" s="943">
        <f t="shared" si="52"/>
        <v>0</v>
      </c>
      <c r="L205" s="943">
        <f t="shared" si="56"/>
        <v>0</v>
      </c>
      <c r="M205" s="942"/>
      <c r="N205" s="939">
        <v>0</v>
      </c>
      <c r="O205" s="943">
        <f t="shared" si="57"/>
        <v>0</v>
      </c>
      <c r="P205" s="943">
        <f t="shared" si="58"/>
        <v>0</v>
      </c>
      <c r="Q205" s="943">
        <f t="shared" si="53"/>
        <v>0</v>
      </c>
      <c r="R205" s="943">
        <f t="shared" si="59"/>
        <v>0</v>
      </c>
      <c r="S205" s="942"/>
    </row>
    <row r="206" spans="2:19">
      <c r="B206" s="1196">
        <f t="shared" si="54"/>
        <v>132</v>
      </c>
      <c r="D206" s="1202" t="s">
        <v>1036</v>
      </c>
      <c r="E206" s="939">
        <v>31</v>
      </c>
      <c r="F206" s="944">
        <v>1</v>
      </c>
      <c r="G206" s="940">
        <f t="shared" si="55"/>
        <v>214</v>
      </c>
      <c r="H206" s="941">
        <f t="shared" si="51"/>
        <v>4.6728971962616819E-3</v>
      </c>
      <c r="I206" s="942"/>
      <c r="J206" s="939">
        <v>0</v>
      </c>
      <c r="K206" s="943">
        <f t="shared" si="52"/>
        <v>0</v>
      </c>
      <c r="L206" s="943">
        <f t="shared" si="56"/>
        <v>0</v>
      </c>
      <c r="M206" s="942"/>
      <c r="N206" s="939">
        <v>0</v>
      </c>
      <c r="O206" s="943">
        <f t="shared" si="57"/>
        <v>0</v>
      </c>
      <c r="P206" s="943">
        <f t="shared" si="58"/>
        <v>0</v>
      </c>
      <c r="Q206" s="943">
        <f t="shared" si="53"/>
        <v>0</v>
      </c>
      <c r="R206" s="943">
        <f t="shared" si="59"/>
        <v>0</v>
      </c>
      <c r="S206" s="942"/>
    </row>
    <row r="207" spans="2:19">
      <c r="B207" s="1196">
        <f t="shared" si="54"/>
        <v>133</v>
      </c>
      <c r="D207" s="1203" t="str">
        <f>"Total (Sum of Lines "&amp;B195&amp;" - "&amp;B206&amp;")"</f>
        <v>Total (Sum of Lines 121 - 132)</v>
      </c>
      <c r="E207" s="945">
        <f>SUM(E195:E206)</f>
        <v>365</v>
      </c>
      <c r="F207" s="1204"/>
      <c r="G207" s="1204"/>
      <c r="H207" s="1205"/>
      <c r="I207" s="946"/>
      <c r="J207" s="945">
        <f>SUM(J195:J206)</f>
        <v>0</v>
      </c>
      <c r="K207" s="945">
        <f>SUM(K195:K206)</f>
        <v>0</v>
      </c>
      <c r="L207" s="947"/>
      <c r="M207" s="946"/>
      <c r="N207" s="945">
        <f>SUM(N195:N206)</f>
        <v>0</v>
      </c>
      <c r="O207" s="945">
        <f>SUM(O195:O206)</f>
        <v>0</v>
      </c>
      <c r="P207" s="945">
        <f>SUM(P195:P206)</f>
        <v>0</v>
      </c>
      <c r="Q207" s="945">
        <f>SUM(Q195:Q206)</f>
        <v>0</v>
      </c>
      <c r="R207" s="947"/>
      <c r="S207" s="946"/>
    </row>
    <row r="208" spans="2:19">
      <c r="D208" s="1206"/>
      <c r="E208" s="1206"/>
      <c r="F208" s="1206"/>
      <c r="G208" s="1206"/>
      <c r="H208" s="1207"/>
      <c r="I208" s="1207"/>
      <c r="K208" s="1208"/>
      <c r="L208" s="1207"/>
      <c r="M208" s="1207"/>
      <c r="N208" s="1215"/>
      <c r="O208" s="1208"/>
      <c r="P208" s="1208"/>
      <c r="Q208" s="1208"/>
      <c r="R208" s="1207"/>
      <c r="S208" s="1207"/>
    </row>
    <row r="209" spans="2:19">
      <c r="B209" s="1196">
        <f>B207+1</f>
        <v>134</v>
      </c>
      <c r="D209" s="1190" t="s">
        <v>1122</v>
      </c>
      <c r="I209" s="1207"/>
      <c r="J209" s="939" t="s">
        <v>1566</v>
      </c>
      <c r="L209" s="939">
        <v>0</v>
      </c>
      <c r="M209" s="1209"/>
      <c r="N209" s="939" t="s">
        <v>1566</v>
      </c>
      <c r="R209" s="939">
        <v>0</v>
      </c>
    </row>
    <row r="210" spans="2:19">
      <c r="B210" s="1196">
        <f>B209+1</f>
        <v>135</v>
      </c>
      <c r="D210" s="1190" t="s">
        <v>1123</v>
      </c>
      <c r="I210" s="1207"/>
      <c r="J210" s="1210" t="s">
        <v>1039</v>
      </c>
      <c r="L210" s="949">
        <v>0</v>
      </c>
      <c r="M210" s="1211"/>
      <c r="N210" s="1210"/>
      <c r="R210" s="949">
        <v>0</v>
      </c>
    </row>
    <row r="211" spans="2:19">
      <c r="B211" s="1196">
        <f>B210+1</f>
        <v>136</v>
      </c>
      <c r="D211" s="1190" t="s">
        <v>1124</v>
      </c>
      <c r="I211" s="1207"/>
      <c r="J211" s="1203" t="str">
        <f>"(Col. "&amp;L190&amp;", Line "&amp;B209&amp;" + Line "&amp;B210&amp;")"</f>
        <v>(Col. (H), Line 134 + Line 135)</v>
      </c>
      <c r="L211" s="950">
        <f>L209+L210</f>
        <v>0</v>
      </c>
      <c r="M211" s="1207"/>
      <c r="N211" s="1203" t="str">
        <f>"(Col. "&amp;R190&amp;", Line "&amp;B209&amp;" + Line "&amp;B210&amp;")"</f>
        <v>(Col. (M), Line 134 + Line 135)</v>
      </c>
      <c r="R211" s="950">
        <f>R209+R210</f>
        <v>0</v>
      </c>
    </row>
    <row r="212" spans="2:19">
      <c r="I212" s="1207"/>
      <c r="L212" s="950"/>
      <c r="M212" s="1207"/>
      <c r="R212" s="950"/>
    </row>
    <row r="213" spans="2:19">
      <c r="B213" s="1196">
        <f>B211+1</f>
        <v>137</v>
      </c>
      <c r="D213" s="1190" t="s">
        <v>1125</v>
      </c>
      <c r="I213" s="1207"/>
      <c r="J213" s="939" t="s">
        <v>1595</v>
      </c>
      <c r="L213" s="939">
        <v>0</v>
      </c>
      <c r="M213" s="1209"/>
      <c r="N213" s="939" t="s">
        <v>1594</v>
      </c>
      <c r="R213" s="939">
        <v>0</v>
      </c>
    </row>
    <row r="214" spans="2:19">
      <c r="B214" s="1196">
        <f>B213+1</f>
        <v>138</v>
      </c>
      <c r="D214" s="1190" t="s">
        <v>1126</v>
      </c>
      <c r="I214" s="1207"/>
      <c r="J214" s="1210" t="s">
        <v>1039</v>
      </c>
      <c r="L214" s="949">
        <v>0</v>
      </c>
      <c r="M214" s="1207"/>
      <c r="N214" s="1210"/>
      <c r="R214" s="949">
        <v>0</v>
      </c>
    </row>
    <row r="215" spans="2:19">
      <c r="B215" s="1196">
        <f>B214+1</f>
        <v>139</v>
      </c>
      <c r="D215" s="1190" t="s">
        <v>1127</v>
      </c>
      <c r="I215" s="1207"/>
      <c r="J215" s="1203" t="str">
        <f>"(Col. "&amp;L190&amp;", Line "&amp;B213&amp;" + Line "&amp;B214&amp;")"</f>
        <v>(Col. (H), Line 137 + Line 138)</v>
      </c>
      <c r="L215" s="950">
        <f>L213+L214</f>
        <v>0</v>
      </c>
      <c r="M215" s="1207"/>
      <c r="N215" s="1203" t="str">
        <f>"(Col. "&amp;R190&amp;", Line "&amp;B213&amp;" + Line "&amp;B214&amp;")"</f>
        <v>(Col. (M), Line 137 + Line 138)</v>
      </c>
      <c r="R215" s="950">
        <f>R213+R214</f>
        <v>0</v>
      </c>
    </row>
    <row r="216" spans="2:19">
      <c r="I216" s="1207"/>
      <c r="L216" s="950"/>
      <c r="M216" s="1207"/>
      <c r="R216" s="950"/>
    </row>
    <row r="217" spans="2:19">
      <c r="B217" s="1196">
        <f>B215+1</f>
        <v>140</v>
      </c>
      <c r="D217" s="1190" t="s">
        <v>1044</v>
      </c>
      <c r="I217" s="1207"/>
      <c r="J217" s="1203" t="str">
        <f>"([Col. "&amp;L190&amp;", Line "&amp;B211&amp;" + Line "&amp;B215&amp;"] /2)"</f>
        <v>([Col. (H), Line 136 + Line 139] /2)</v>
      </c>
      <c r="L217" s="943">
        <f>(L211+L215)/2</f>
        <v>0</v>
      </c>
      <c r="M217" s="1207"/>
      <c r="N217" s="1203" t="str">
        <f>"([Col. "&amp;R190&amp;", Line "&amp;B211&amp;" + Line "&amp;B215&amp;"] /2)"</f>
        <v>([Col. (M), Line 136 + Line 139] /2)</v>
      </c>
      <c r="R217" s="943">
        <f>(R211+R215)/2</f>
        <v>0</v>
      </c>
    </row>
    <row r="218" spans="2:19">
      <c r="B218" s="1196">
        <f>B217+1</f>
        <v>141</v>
      </c>
      <c r="D218" s="1243" t="s">
        <v>1128</v>
      </c>
      <c r="E218" s="1206"/>
      <c r="F218" s="1206"/>
      <c r="G218" s="1206"/>
      <c r="H218" s="1207"/>
      <c r="I218" s="1207"/>
      <c r="J218" s="1203" t="str">
        <f>"(Col. "&amp;L190&amp;", Line "&amp;B206&amp;" )"</f>
        <v>(Col. (H), Line 132 )</v>
      </c>
      <c r="K218" s="1208"/>
      <c r="L218" s="943">
        <f>L206</f>
        <v>0</v>
      </c>
      <c r="M218" s="1207"/>
      <c r="N218" s="1203" t="str">
        <f>"(Col. "&amp;R190&amp;", Line "&amp;B206&amp;" )"</f>
        <v>(Col. (M), Line 132 )</v>
      </c>
      <c r="R218" s="943">
        <f>R206</f>
        <v>0</v>
      </c>
    </row>
    <row r="219" spans="2:19" ht="13.5" thickBot="1">
      <c r="B219" s="1196">
        <f>B218+1</f>
        <v>142</v>
      </c>
      <c r="D219" s="1212" t="s">
        <v>1133</v>
      </c>
      <c r="E219" s="1206"/>
      <c r="F219" s="1206"/>
      <c r="G219" s="1206"/>
      <c r="H219" s="1207"/>
      <c r="I219" s="1207"/>
      <c r="J219" s="1203" t="str">
        <f>"(Col. "&amp;L190&amp;", Line "&amp;B217&amp;" + Line "&amp;B218&amp;")"</f>
        <v>(Col. (H), Line 140 + Line 141)</v>
      </c>
      <c r="K219" s="1208"/>
      <c r="L219" s="951">
        <f>L217+L218</f>
        <v>0</v>
      </c>
      <c r="M219" s="1207"/>
      <c r="N219" s="1203" t="str">
        <f>"(Col. "&amp;R190&amp;", Line "&amp;B217&amp;" + Line "&amp;B218&amp;")"</f>
        <v>(Col. (M), Line 140 + Line 141)</v>
      </c>
      <c r="R219" s="951">
        <f>R217+R218</f>
        <v>0</v>
      </c>
    </row>
    <row r="220" spans="2:19">
      <c r="D220" s="1206"/>
      <c r="E220" s="1206"/>
      <c r="F220" s="1206"/>
      <c r="G220" s="1206"/>
      <c r="H220" s="1207"/>
      <c r="I220" s="1207"/>
      <c r="K220" s="1208"/>
      <c r="L220" s="1207"/>
      <c r="M220" s="1207"/>
      <c r="O220" s="1208"/>
      <c r="P220" s="1208"/>
      <c r="Q220" s="1208"/>
      <c r="R220" s="1207"/>
      <c r="S220" s="1207"/>
    </row>
    <row r="221" spans="2:19">
      <c r="D221" s="1206"/>
      <c r="E221" s="1206"/>
      <c r="F221" s="1206" t="s">
        <v>154</v>
      </c>
      <c r="G221" s="1206"/>
      <c r="H221" s="1207"/>
      <c r="I221" s="1207"/>
      <c r="K221" s="1208"/>
      <c r="L221" s="1207"/>
      <c r="M221" s="1207"/>
      <c r="O221" s="1208"/>
      <c r="P221" s="1208"/>
      <c r="Q221" s="1208"/>
      <c r="R221" s="1207"/>
      <c r="S221" s="1207"/>
    </row>
    <row r="222" spans="2:19" ht="13">
      <c r="D222" s="1534" t="s">
        <v>1140</v>
      </c>
      <c r="E222" s="1534"/>
      <c r="F222" s="1534"/>
      <c r="G222" s="1534"/>
      <c r="H222" s="1534"/>
      <c r="I222" s="1207"/>
      <c r="J222" s="1534" t="s">
        <v>1141</v>
      </c>
      <c r="K222" s="1534"/>
      <c r="L222" s="1534"/>
      <c r="M222" s="1534"/>
      <c r="N222" s="1534"/>
      <c r="O222" s="1208"/>
      <c r="P222" s="1208"/>
      <c r="Q222" s="1208"/>
      <c r="R222" s="1207"/>
      <c r="S222" s="1207"/>
    </row>
    <row r="223" spans="2:19" ht="12.75" customHeight="1">
      <c r="B223" s="1535" t="s">
        <v>898</v>
      </c>
      <c r="C223" s="1335"/>
      <c r="D223" s="1330" t="s">
        <v>799</v>
      </c>
      <c r="E223" s="1331"/>
      <c r="F223" s="1330" t="s">
        <v>800</v>
      </c>
      <c r="G223" s="1332"/>
      <c r="H223" s="1329" t="s">
        <v>961</v>
      </c>
      <c r="I223" s="1197"/>
      <c r="J223" s="1330" t="s">
        <v>802</v>
      </c>
      <c r="K223" s="1331"/>
      <c r="L223" s="1330" t="s">
        <v>962</v>
      </c>
      <c r="M223" s="1332"/>
      <c r="N223" s="1329" t="s">
        <v>804</v>
      </c>
    </row>
    <row r="224" spans="2:19" ht="26">
      <c r="B224" s="1536"/>
      <c r="C224" s="1335"/>
      <c r="D224" s="1249" t="s">
        <v>809</v>
      </c>
      <c r="E224" s="1250"/>
      <c r="F224" s="1251" t="s">
        <v>1136</v>
      </c>
      <c r="G224" s="1252"/>
      <c r="H224" s="1248" t="s">
        <v>1142</v>
      </c>
      <c r="J224" s="1249" t="s">
        <v>809</v>
      </c>
      <c r="K224" s="1250"/>
      <c r="L224" s="1251" t="s">
        <v>1136</v>
      </c>
      <c r="M224" s="1252"/>
      <c r="N224" s="1248" t="s">
        <v>1137</v>
      </c>
      <c r="O224" s="1208"/>
      <c r="P224" s="1208"/>
      <c r="Q224" s="1208"/>
      <c r="R224" s="1207"/>
      <c r="S224" s="1207"/>
    </row>
    <row r="225" spans="1:19" ht="5.15" customHeight="1">
      <c r="B225" s="1190"/>
      <c r="E225" s="1206"/>
      <c r="K225" s="1206"/>
      <c r="O225" s="1208"/>
      <c r="P225" s="1208"/>
      <c r="Q225" s="1208"/>
      <c r="R225" s="1207"/>
      <c r="S225" s="1207"/>
    </row>
    <row r="226" spans="1:19">
      <c r="B226" s="1196">
        <f>B219+1</f>
        <v>143</v>
      </c>
      <c r="D226" s="1253" t="s">
        <v>813</v>
      </c>
      <c r="F226" s="1254" t="str">
        <f>"(Col. "&amp;L124&amp;", Line "&amp;B153&amp;")"</f>
        <v>(Col. (H), Line 96)</v>
      </c>
      <c r="G226" s="1032"/>
      <c r="H226" s="1033">
        <f>L153</f>
        <v>0</v>
      </c>
      <c r="I226" s="1032"/>
      <c r="J226" s="1253" t="s">
        <v>813</v>
      </c>
      <c r="L226" s="1254" t="str">
        <f>"(Col. "&amp;R124&amp;", Line "&amp;B153&amp;")"</f>
        <v>(Col. (M), Line 96)</v>
      </c>
      <c r="M226" s="1032"/>
      <c r="N226" s="1033">
        <f>R153</f>
        <v>0</v>
      </c>
      <c r="O226" s="1208"/>
      <c r="P226" s="1208"/>
      <c r="Q226" s="1208"/>
      <c r="R226" s="1207"/>
      <c r="S226" s="1207"/>
    </row>
    <row r="227" spans="1:19">
      <c r="B227" s="1196">
        <f>B226+1</f>
        <v>144</v>
      </c>
      <c r="D227" s="1253" t="s">
        <v>816</v>
      </c>
      <c r="F227" s="1254" t="str">
        <f>"(Col. "&amp;L157&amp;", Line "&amp;B186&amp;")"</f>
        <v>(Col. (H), Line 119)</v>
      </c>
      <c r="H227" s="1255">
        <f>L186</f>
        <v>0</v>
      </c>
      <c r="J227" s="1253" t="s">
        <v>816</v>
      </c>
      <c r="L227" s="1254" t="str">
        <f>"(Col. "&amp;R157&amp;", Line "&amp;B186&amp;")"</f>
        <v>(Col. (M), Line 119)</v>
      </c>
      <c r="N227" s="1255">
        <f>R186</f>
        <v>0</v>
      </c>
      <c r="O227" s="1208"/>
      <c r="P227" s="1208"/>
      <c r="Q227" s="1208"/>
      <c r="R227" s="1207"/>
      <c r="S227" s="1207"/>
    </row>
    <row r="228" spans="1:19">
      <c r="B228" s="1196">
        <f>B227+1</f>
        <v>145</v>
      </c>
      <c r="D228" s="1253" t="s">
        <v>817</v>
      </c>
      <c r="F228" s="1254" t="str">
        <f>"(Col. "&amp;L190&amp;", Line "&amp;B219&amp;")"</f>
        <v>(Col. (H), Line 142)</v>
      </c>
      <c r="H228" s="1255">
        <f>L219</f>
        <v>0</v>
      </c>
      <c r="J228" s="1253" t="s">
        <v>817</v>
      </c>
      <c r="L228" s="1254" t="str">
        <f>"(Col. "&amp;R190&amp;", Line "&amp;B219&amp;")"</f>
        <v>(Col. (M), Line 142)</v>
      </c>
      <c r="N228" s="1255">
        <f>R219</f>
        <v>0</v>
      </c>
      <c r="O228" s="1208"/>
      <c r="P228" s="1208"/>
      <c r="Q228" s="1208"/>
      <c r="R228" s="1207"/>
      <c r="S228" s="1207"/>
    </row>
    <row r="229" spans="1:19" ht="5.15" customHeight="1">
      <c r="D229" s="1206"/>
      <c r="E229" s="1206"/>
      <c r="J229" s="1206"/>
      <c r="K229" s="1206"/>
      <c r="O229" s="1208"/>
      <c r="P229" s="1208"/>
      <c r="Q229" s="1208"/>
      <c r="R229" s="1207"/>
      <c r="S229" s="1207"/>
    </row>
    <row r="230" spans="1:19" ht="13">
      <c r="B230" s="1196">
        <f>B228+1</f>
        <v>146</v>
      </c>
      <c r="D230" s="1256" t="s">
        <v>1143</v>
      </c>
      <c r="E230" s="1206"/>
      <c r="F230" s="1254" t="s">
        <v>1318</v>
      </c>
      <c r="G230" s="1034"/>
      <c r="H230" s="1035">
        <f>SUM(H226:H229)</f>
        <v>0</v>
      </c>
      <c r="I230" s="1034"/>
      <c r="J230" s="1256" t="s">
        <v>1143</v>
      </c>
      <c r="K230" s="1206"/>
      <c r="L230" s="1257" t="s">
        <v>1318</v>
      </c>
      <c r="M230" s="1034"/>
      <c r="N230" s="1035">
        <f>SUM(N226:N229)</f>
        <v>0</v>
      </c>
      <c r="O230" s="1208"/>
      <c r="P230" s="1208"/>
      <c r="Q230" s="1208"/>
      <c r="R230" s="1207"/>
      <c r="S230" s="1207"/>
    </row>
    <row r="231" spans="1:19">
      <c r="D231" s="1206"/>
      <c r="E231" s="1206"/>
      <c r="F231" s="1206"/>
      <c r="G231" s="1206"/>
      <c r="H231" s="1207"/>
      <c r="I231" s="1207"/>
      <c r="K231" s="1208"/>
      <c r="L231" s="1207"/>
      <c r="M231" s="1207"/>
      <c r="O231" s="1208"/>
      <c r="P231" s="1208"/>
      <c r="Q231" s="1208"/>
      <c r="R231" s="1207"/>
      <c r="S231" s="1207"/>
    </row>
    <row r="232" spans="1:19" ht="13">
      <c r="A232" s="1217"/>
      <c r="B232" s="1218" t="s">
        <v>791</v>
      </c>
      <c r="C232" s="1217"/>
      <c r="D232" s="1217"/>
      <c r="E232" s="1217"/>
      <c r="F232" s="1217"/>
      <c r="G232" s="1217"/>
      <c r="H232" s="1217"/>
      <c r="I232" s="1217"/>
      <c r="J232" s="1217"/>
      <c r="K232" s="1217"/>
      <c r="L232" s="1217"/>
      <c r="M232" s="1217"/>
      <c r="N232" s="1217"/>
      <c r="O232" s="1217"/>
      <c r="P232" s="1217"/>
      <c r="Q232" s="1217"/>
      <c r="R232" s="1217"/>
      <c r="S232" s="1217"/>
    </row>
    <row r="234" spans="1:19">
      <c r="B234" s="1523" t="s">
        <v>1065</v>
      </c>
      <c r="C234" s="1523"/>
      <c r="D234" s="1523"/>
      <c r="E234" s="1523"/>
      <c r="F234" s="1523"/>
      <c r="G234" s="1523"/>
      <c r="H234" s="1523"/>
      <c r="I234" s="1523"/>
      <c r="J234" s="1523"/>
      <c r="K234" s="1523"/>
      <c r="L234" s="1523"/>
      <c r="M234" s="1207"/>
      <c r="O234" s="1208"/>
      <c r="P234" s="1208"/>
      <c r="Q234" s="1208"/>
      <c r="R234" s="1207"/>
      <c r="S234" s="1207"/>
    </row>
    <row r="235" spans="1:19">
      <c r="B235" s="1523"/>
      <c r="C235" s="1523"/>
      <c r="D235" s="1523"/>
      <c r="E235" s="1523"/>
      <c r="F235" s="1523"/>
      <c r="G235" s="1523"/>
      <c r="H235" s="1523"/>
      <c r="I235" s="1523"/>
      <c r="J235" s="1523"/>
      <c r="K235" s="1523"/>
      <c r="L235" s="1523"/>
      <c r="M235" s="1207"/>
      <c r="O235" s="1208"/>
      <c r="P235" s="1208"/>
      <c r="Q235" s="1208"/>
      <c r="R235" s="1207"/>
      <c r="S235" s="1207"/>
    </row>
    <row r="236" spans="1:19">
      <c r="D236" s="1206"/>
      <c r="E236" s="1206"/>
      <c r="F236" s="1206"/>
      <c r="G236" s="1206"/>
      <c r="H236" s="1207"/>
      <c r="I236" s="1207"/>
      <c r="K236" s="1208"/>
      <c r="L236" s="1207"/>
      <c r="M236" s="1207"/>
      <c r="O236" s="1208"/>
      <c r="P236" s="1208"/>
      <c r="Q236" s="1208"/>
      <c r="R236" s="1207"/>
      <c r="S236" s="1207"/>
    </row>
    <row r="237" spans="1:19" ht="13">
      <c r="B237" s="1191" t="s">
        <v>1066</v>
      </c>
      <c r="D237" s="1219" t="str">
        <f>'1A - ADIT Summary'!D177</f>
        <v>True-Up Adjustment</v>
      </c>
      <c r="E237" s="1220" t="str">
        <f>IF(D237="Projected Activity","Check",IF(D237="True-Up Adjustment","Check","Error"))</f>
        <v>Check</v>
      </c>
      <c r="F237" s="1206"/>
      <c r="G237" s="1206"/>
      <c r="H237" s="1207"/>
      <c r="I237" s="1207"/>
      <c r="K237" s="1208"/>
      <c r="L237" s="1207"/>
      <c r="M237" s="1207"/>
      <c r="O237" s="1208"/>
      <c r="P237" s="1208"/>
      <c r="Q237" s="1208"/>
      <c r="R237" s="1207"/>
      <c r="S237" s="1207"/>
    </row>
    <row r="238" spans="1:19">
      <c r="D238" s="1206"/>
      <c r="E238" s="1206"/>
      <c r="F238" s="1206"/>
      <c r="G238" s="1206"/>
      <c r="H238" s="1207"/>
      <c r="I238" s="1207"/>
      <c r="K238" s="1208"/>
      <c r="L238" s="1207"/>
      <c r="M238" s="1207"/>
      <c r="O238" s="1208"/>
      <c r="P238" s="1208"/>
      <c r="Q238" s="1208"/>
      <c r="R238" s="1207"/>
      <c r="S238" s="1207"/>
    </row>
    <row r="239" spans="1:19">
      <c r="B239" s="1524" t="s">
        <v>1067</v>
      </c>
      <c r="C239" s="1524"/>
      <c r="D239" s="1524"/>
      <c r="E239" s="1524"/>
      <c r="F239" s="1524"/>
      <c r="G239" s="1524"/>
      <c r="H239" s="1524"/>
      <c r="I239" s="1524"/>
      <c r="J239" s="1524"/>
      <c r="K239" s="1524"/>
      <c r="L239" s="1524"/>
      <c r="M239" s="1207"/>
      <c r="O239" s="1208"/>
      <c r="P239" s="1208"/>
      <c r="Q239" s="1208"/>
      <c r="R239" s="1207"/>
      <c r="S239" s="1207"/>
    </row>
    <row r="240" spans="1:19">
      <c r="B240" s="1524"/>
      <c r="C240" s="1524"/>
      <c r="D240" s="1524"/>
      <c r="E240" s="1524"/>
      <c r="F240" s="1524"/>
      <c r="G240" s="1524"/>
      <c r="H240" s="1524"/>
      <c r="I240" s="1524"/>
      <c r="J240" s="1524"/>
      <c r="K240" s="1524"/>
      <c r="L240" s="1524"/>
      <c r="M240" s="1207"/>
      <c r="O240" s="1208"/>
      <c r="P240" s="1208"/>
      <c r="Q240" s="1208"/>
      <c r="R240" s="1207"/>
      <c r="S240" s="1207"/>
    </row>
    <row r="241" spans="1:19">
      <c r="D241" s="1206"/>
      <c r="E241" s="1206"/>
      <c r="F241" s="1206"/>
      <c r="G241" s="1206"/>
      <c r="H241" s="1207"/>
      <c r="I241" s="1207"/>
      <c r="K241" s="1208"/>
      <c r="L241" s="1207"/>
      <c r="M241" s="1207"/>
      <c r="O241" s="1208"/>
      <c r="P241" s="1208"/>
      <c r="Q241" s="1208"/>
      <c r="R241" s="1207"/>
      <c r="S241" s="1207"/>
    </row>
    <row r="242" spans="1:19" ht="13">
      <c r="A242" s="1217"/>
      <c r="B242" s="1218" t="s">
        <v>839</v>
      </c>
      <c r="C242" s="1217"/>
      <c r="D242" s="1217"/>
      <c r="E242" s="1217"/>
      <c r="F242" s="1217"/>
      <c r="G242" s="1217"/>
      <c r="H242" s="1217"/>
      <c r="I242" s="1217"/>
      <c r="J242" s="1217"/>
      <c r="K242" s="1217"/>
      <c r="L242" s="1217"/>
      <c r="M242" s="1217"/>
      <c r="N242" s="1217"/>
      <c r="O242" s="1217"/>
      <c r="P242" s="1217"/>
      <c r="Q242" s="1217"/>
      <c r="R242" s="1217"/>
      <c r="S242" s="1217"/>
    </row>
    <row r="244" spans="1:19" ht="15.75" customHeight="1">
      <c r="A244" s="1189"/>
      <c r="B244" s="1191" t="s">
        <v>156</v>
      </c>
      <c r="C244" s="1523" t="s">
        <v>1144</v>
      </c>
      <c r="D244" s="1523"/>
      <c r="E244" s="1523"/>
      <c r="F244" s="1523"/>
      <c r="G244" s="1523"/>
      <c r="H244" s="1523"/>
      <c r="I244" s="1523"/>
      <c r="J244" s="1523"/>
      <c r="K244" s="1523"/>
      <c r="L244" s="1523"/>
    </row>
    <row r="245" spans="1:19" ht="13">
      <c r="A245" s="1189"/>
      <c r="B245" s="1191"/>
      <c r="C245" s="1523"/>
      <c r="D245" s="1523"/>
      <c r="E245" s="1523"/>
      <c r="F245" s="1523"/>
      <c r="G245" s="1523"/>
      <c r="H245" s="1523"/>
      <c r="I245" s="1523"/>
      <c r="J245" s="1523"/>
      <c r="K245" s="1523"/>
      <c r="L245" s="1523"/>
    </row>
    <row r="246" spans="1:19" ht="13">
      <c r="A246" s="1189"/>
      <c r="B246" s="1191"/>
      <c r="C246" s="1523"/>
      <c r="D246" s="1523"/>
      <c r="E246" s="1523"/>
      <c r="F246" s="1523"/>
      <c r="G246" s="1523"/>
      <c r="H246" s="1523"/>
      <c r="I246" s="1523"/>
      <c r="J246" s="1523"/>
      <c r="K246" s="1523"/>
      <c r="L246" s="1523"/>
    </row>
    <row r="247" spans="1:19">
      <c r="C247" s="1523"/>
      <c r="D247" s="1523"/>
      <c r="E247" s="1523"/>
      <c r="F247" s="1523"/>
      <c r="G247" s="1523"/>
      <c r="H247" s="1523"/>
      <c r="I247" s="1523"/>
      <c r="J247" s="1523"/>
      <c r="K247" s="1523"/>
      <c r="L247" s="1523"/>
    </row>
    <row r="248" spans="1:19">
      <c r="C248" s="1523"/>
      <c r="D248" s="1523"/>
      <c r="E248" s="1523"/>
      <c r="F248" s="1523"/>
      <c r="G248" s="1523"/>
      <c r="H248" s="1523"/>
      <c r="I248" s="1523"/>
      <c r="J248" s="1523"/>
      <c r="K248" s="1523"/>
      <c r="L248" s="1523"/>
    </row>
    <row r="249" spans="1:19" ht="15.75" customHeight="1">
      <c r="A249" s="1189"/>
      <c r="B249" s="1191" t="s">
        <v>293</v>
      </c>
      <c r="C249" s="1523" t="s">
        <v>1145</v>
      </c>
      <c r="D249" s="1523"/>
      <c r="E249" s="1523"/>
      <c r="F249" s="1523"/>
      <c r="G249" s="1523"/>
      <c r="H249" s="1523"/>
      <c r="I249" s="1523"/>
      <c r="J249" s="1523"/>
      <c r="K249" s="1523"/>
      <c r="L249" s="1523"/>
    </row>
    <row r="250" spans="1:19" ht="13">
      <c r="A250" s="1189"/>
      <c r="B250" s="1191"/>
      <c r="C250" s="1523"/>
      <c r="D250" s="1523"/>
      <c r="E250" s="1523"/>
      <c r="F250" s="1523"/>
      <c r="G250" s="1523"/>
      <c r="H250" s="1523"/>
      <c r="I250" s="1523"/>
      <c r="J250" s="1523"/>
      <c r="K250" s="1523"/>
      <c r="L250" s="1523"/>
    </row>
    <row r="251" spans="1:19" ht="13">
      <c r="A251" s="1189"/>
      <c r="B251" s="1191"/>
      <c r="C251" s="1523"/>
      <c r="D251" s="1523"/>
      <c r="E251" s="1523"/>
      <c r="F251" s="1523"/>
      <c r="G251" s="1523"/>
      <c r="H251" s="1523"/>
      <c r="I251" s="1523"/>
      <c r="J251" s="1523"/>
      <c r="K251" s="1523"/>
      <c r="L251" s="1523"/>
    </row>
    <row r="252" spans="1:19" ht="13">
      <c r="A252" s="1189"/>
      <c r="B252" s="1191"/>
      <c r="C252" s="1523"/>
      <c r="D252" s="1523"/>
      <c r="E252" s="1523"/>
      <c r="F252" s="1523"/>
      <c r="G252" s="1523"/>
      <c r="H252" s="1523"/>
      <c r="I252" s="1523"/>
      <c r="J252" s="1523"/>
      <c r="K252" s="1523"/>
      <c r="L252" s="1523"/>
    </row>
    <row r="253" spans="1:19" ht="13">
      <c r="A253" s="1189"/>
      <c r="B253" s="1191"/>
      <c r="C253" s="1523"/>
      <c r="D253" s="1523"/>
      <c r="E253" s="1523"/>
      <c r="F253" s="1523"/>
      <c r="G253" s="1523"/>
      <c r="H253" s="1523"/>
      <c r="I253" s="1523"/>
      <c r="J253" s="1523"/>
      <c r="K253" s="1523"/>
      <c r="L253" s="1523"/>
    </row>
    <row r="254" spans="1:19" ht="13">
      <c r="A254" s="1189"/>
      <c r="B254" s="1191"/>
      <c r="C254" s="1523"/>
      <c r="D254" s="1523"/>
      <c r="E254" s="1523"/>
      <c r="F254" s="1523"/>
      <c r="G254" s="1523"/>
      <c r="H254" s="1523"/>
      <c r="I254" s="1523"/>
      <c r="J254" s="1523"/>
      <c r="K254" s="1523"/>
      <c r="L254" s="1523"/>
    </row>
    <row r="255" spans="1:19" ht="13">
      <c r="A255" s="1189"/>
      <c r="B255" s="1191"/>
      <c r="C255" s="1523"/>
      <c r="D255" s="1523"/>
      <c r="E255" s="1523"/>
      <c r="F255" s="1523"/>
      <c r="G255" s="1523"/>
      <c r="H255" s="1523"/>
      <c r="I255" s="1523"/>
      <c r="J255" s="1523"/>
      <c r="K255" s="1523"/>
      <c r="L255" s="1523"/>
    </row>
    <row r="256" spans="1:19" ht="13">
      <c r="A256" s="1189"/>
      <c r="B256" s="1191"/>
      <c r="C256" s="1523"/>
      <c r="D256" s="1523"/>
      <c r="E256" s="1523"/>
      <c r="F256" s="1523"/>
      <c r="G256" s="1523"/>
      <c r="H256" s="1523"/>
      <c r="I256" s="1523"/>
      <c r="J256" s="1523"/>
      <c r="K256" s="1523"/>
      <c r="L256" s="1523"/>
    </row>
    <row r="257" spans="1:12">
      <c r="C257" s="1523"/>
      <c r="D257" s="1523"/>
      <c r="E257" s="1523"/>
      <c r="F257" s="1523"/>
      <c r="G257" s="1523"/>
      <c r="H257" s="1523"/>
      <c r="I257" s="1523"/>
      <c r="J257" s="1523"/>
      <c r="K257" s="1523"/>
      <c r="L257" s="1523"/>
    </row>
    <row r="258" spans="1:12" ht="15.75" customHeight="1">
      <c r="A258" s="1189"/>
      <c r="B258" s="1191" t="s">
        <v>133</v>
      </c>
      <c r="C258" s="1523" t="s">
        <v>1146</v>
      </c>
      <c r="D258" s="1523"/>
      <c r="E258" s="1523"/>
      <c r="F258" s="1523"/>
      <c r="G258" s="1523"/>
      <c r="H258" s="1523"/>
      <c r="I258" s="1523"/>
      <c r="J258" s="1523"/>
      <c r="K258" s="1523"/>
      <c r="L258" s="1523"/>
    </row>
    <row r="259" spans="1:12" ht="13">
      <c r="A259" s="1189"/>
      <c r="B259" s="1191"/>
      <c r="C259" s="1523"/>
      <c r="D259" s="1523"/>
      <c r="E259" s="1523"/>
      <c r="F259" s="1523"/>
      <c r="G259" s="1523"/>
      <c r="H259" s="1523"/>
      <c r="I259" s="1523"/>
      <c r="J259" s="1523"/>
      <c r="K259" s="1523"/>
      <c r="L259" s="1523"/>
    </row>
    <row r="260" spans="1:12" ht="13">
      <c r="A260" s="1189"/>
      <c r="B260" s="1191"/>
      <c r="C260" s="1523"/>
      <c r="D260" s="1523"/>
      <c r="E260" s="1523"/>
      <c r="F260" s="1523"/>
      <c r="G260" s="1523"/>
      <c r="H260" s="1523"/>
      <c r="I260" s="1523"/>
      <c r="J260" s="1523"/>
      <c r="K260" s="1523"/>
      <c r="L260" s="1523"/>
    </row>
    <row r="261" spans="1:12" ht="13">
      <c r="A261" s="1189"/>
      <c r="B261" s="1191"/>
      <c r="C261" s="1523"/>
      <c r="D261" s="1523"/>
      <c r="E261" s="1523"/>
      <c r="F261" s="1523"/>
      <c r="G261" s="1523"/>
      <c r="H261" s="1523"/>
      <c r="I261" s="1523"/>
      <c r="J261" s="1523"/>
      <c r="K261" s="1523"/>
      <c r="L261" s="1523"/>
    </row>
    <row r="262" spans="1:12" ht="15.75" customHeight="1">
      <c r="A262" s="1189"/>
      <c r="B262" s="1191" t="s">
        <v>157</v>
      </c>
      <c r="C262" s="1523" t="s">
        <v>1147</v>
      </c>
      <c r="D262" s="1523"/>
      <c r="E262" s="1523"/>
      <c r="F262" s="1523"/>
      <c r="G262" s="1523"/>
      <c r="H262" s="1523"/>
      <c r="I262" s="1523"/>
      <c r="J262" s="1523"/>
      <c r="K262" s="1523"/>
      <c r="L262" s="1523"/>
    </row>
    <row r="263" spans="1:12" ht="15.75" customHeight="1">
      <c r="C263" s="1523"/>
      <c r="D263" s="1523"/>
      <c r="E263" s="1523"/>
      <c r="F263" s="1523"/>
      <c r="G263" s="1523"/>
      <c r="H263" s="1523"/>
      <c r="I263" s="1523"/>
      <c r="J263" s="1523"/>
      <c r="K263" s="1523"/>
      <c r="L263" s="1523"/>
    </row>
    <row r="264" spans="1:12" ht="15.75" customHeight="1">
      <c r="A264" s="1189"/>
      <c r="B264" s="1191" t="s">
        <v>155</v>
      </c>
      <c r="C264" s="1523" t="s">
        <v>1148</v>
      </c>
      <c r="D264" s="1523"/>
      <c r="E264" s="1523"/>
      <c r="F264" s="1523"/>
      <c r="G264" s="1523"/>
      <c r="H264" s="1523"/>
      <c r="I264" s="1523"/>
      <c r="J264" s="1523"/>
      <c r="K264" s="1523"/>
      <c r="L264" s="1523"/>
    </row>
    <row r="265" spans="1:12" ht="15.75" customHeight="1">
      <c r="C265" s="1523"/>
      <c r="D265" s="1523"/>
      <c r="E265" s="1523"/>
      <c r="F265" s="1523"/>
      <c r="G265" s="1523"/>
      <c r="H265" s="1523"/>
      <c r="I265" s="1523"/>
      <c r="J265" s="1523"/>
      <c r="K265" s="1523"/>
      <c r="L265" s="1523"/>
    </row>
    <row r="266" spans="1:12" ht="15.75" customHeight="1">
      <c r="A266" s="1189"/>
      <c r="B266" s="1191" t="s">
        <v>487</v>
      </c>
      <c r="C266" s="1525" t="s">
        <v>1149</v>
      </c>
      <c r="D266" s="1525"/>
      <c r="E266" s="1525"/>
      <c r="F266" s="1525"/>
      <c r="G266" s="1525"/>
      <c r="H266" s="1525"/>
      <c r="I266" s="1525"/>
      <c r="J266" s="1525"/>
      <c r="K266" s="1525"/>
      <c r="L266" s="1525"/>
    </row>
    <row r="267" spans="1:12">
      <c r="C267" s="1525"/>
      <c r="D267" s="1525"/>
      <c r="E267" s="1525"/>
      <c r="F267" s="1525"/>
      <c r="G267" s="1525"/>
      <c r="H267" s="1525"/>
      <c r="I267" s="1525"/>
      <c r="J267" s="1525"/>
      <c r="K267" s="1525"/>
      <c r="L267" s="1525"/>
    </row>
  </sheetData>
  <mergeCells count="45">
    <mergeCell ref="C262:L263"/>
    <mergeCell ref="C264:L265"/>
    <mergeCell ref="C266:L267"/>
    <mergeCell ref="B223:B224"/>
    <mergeCell ref="B234:L235"/>
    <mergeCell ref="B239:L240"/>
    <mergeCell ref="C249:L257"/>
    <mergeCell ref="C258:L261"/>
    <mergeCell ref="C244:L248"/>
    <mergeCell ref="D156:H156"/>
    <mergeCell ref="J156:L156"/>
    <mergeCell ref="N156:R156"/>
    <mergeCell ref="J188:L188"/>
    <mergeCell ref="N188:R188"/>
    <mergeCell ref="D189:H189"/>
    <mergeCell ref="J189:L189"/>
    <mergeCell ref="N189:R189"/>
    <mergeCell ref="D222:H222"/>
    <mergeCell ref="J222:N222"/>
    <mergeCell ref="B110:B111"/>
    <mergeCell ref="B120:R120"/>
    <mergeCell ref="J122:L122"/>
    <mergeCell ref="N122:R122"/>
    <mergeCell ref="D123:H123"/>
    <mergeCell ref="J123:L123"/>
    <mergeCell ref="N123:R123"/>
    <mergeCell ref="D109:H109"/>
    <mergeCell ref="J109:N109"/>
    <mergeCell ref="D10:H10"/>
    <mergeCell ref="J10:L10"/>
    <mergeCell ref="N10:R10"/>
    <mergeCell ref="D43:H43"/>
    <mergeCell ref="J43:L43"/>
    <mergeCell ref="N43:R43"/>
    <mergeCell ref="J75:L75"/>
    <mergeCell ref="N75:R75"/>
    <mergeCell ref="D76:H76"/>
    <mergeCell ref="J76:L76"/>
    <mergeCell ref="N76:R76"/>
    <mergeCell ref="A1:R1"/>
    <mergeCell ref="A2:R2"/>
    <mergeCell ref="A3:R3"/>
    <mergeCell ref="B7:R7"/>
    <mergeCell ref="J9:L9"/>
    <mergeCell ref="N9:R9"/>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10F03-4918-405C-9A65-EFE8B181423F}">
  <dimension ref="A1:T275"/>
  <sheetViews>
    <sheetView topLeftCell="A241" zoomScale="80" zoomScaleNormal="80" workbookViewId="0">
      <selection activeCell="S48" sqref="S48"/>
    </sheetView>
  </sheetViews>
  <sheetFormatPr defaultColWidth="9.1796875" defaultRowHeight="12.5"/>
  <cols>
    <col min="1" max="1" width="9.1796875" style="1190"/>
    <col min="2" max="2" width="5.7265625" style="1190" customWidth="1"/>
    <col min="3" max="3" width="9.453125" style="1190" customWidth="1"/>
    <col min="4" max="4" width="2.7265625" style="1190" customWidth="1"/>
    <col min="5" max="5" width="46.81640625" style="1190" bestFit="1" customWidth="1"/>
    <col min="6" max="6" width="2.7265625" style="1190" customWidth="1"/>
    <col min="7" max="7" width="19.1796875" style="1190" bestFit="1" customWidth="1"/>
    <col min="8" max="8" width="2.7265625" style="1190" customWidth="1"/>
    <col min="9" max="9" width="19.1796875" style="1190" bestFit="1" customWidth="1"/>
    <col min="10" max="10" width="2.7265625" style="1190" customWidth="1"/>
    <col min="11" max="11" width="18.54296875" style="1190" bestFit="1" customWidth="1"/>
    <col min="12" max="12" width="5.7265625" style="1190" customWidth="1"/>
    <col min="13" max="13" width="19.1796875" style="1190" bestFit="1" customWidth="1"/>
    <col min="14" max="14" width="2.7265625" style="1190" customWidth="1"/>
    <col min="15" max="15" width="17.453125" style="1190" customWidth="1"/>
    <col min="16" max="16" width="2.7265625" style="1190" customWidth="1"/>
    <col min="17" max="17" width="17.453125" style="1190" bestFit="1" customWidth="1"/>
    <col min="18" max="18" width="5.7265625" style="1190" customWidth="1"/>
    <col min="19" max="19" width="9.1796875" style="1190"/>
    <col min="20" max="20" width="15.26953125" style="1190" customWidth="1"/>
    <col min="21" max="21" width="15.1796875" style="1190" customWidth="1"/>
    <col min="22" max="16384" width="9.1796875" style="1190"/>
  </cols>
  <sheetData>
    <row r="1" spans="1:20" ht="15.5">
      <c r="A1" s="1521" t="s">
        <v>686</v>
      </c>
      <c r="B1" s="1521"/>
      <c r="C1" s="1521"/>
      <c r="D1" s="1521"/>
      <c r="E1" s="1521"/>
      <c r="F1" s="1521"/>
      <c r="G1" s="1521"/>
      <c r="H1" s="1521"/>
      <c r="I1" s="1521"/>
      <c r="J1" s="1521"/>
      <c r="K1" s="1521"/>
      <c r="L1" s="1521"/>
      <c r="M1" s="1521"/>
      <c r="N1" s="1521"/>
      <c r="O1" s="1521"/>
      <c r="P1" s="1521"/>
      <c r="Q1" s="1521"/>
      <c r="R1" s="1521"/>
      <c r="S1" s="1521"/>
    </row>
    <row r="2" spans="1:20" ht="15.5">
      <c r="A2" s="1521" t="s">
        <v>1150</v>
      </c>
      <c r="B2" s="1521"/>
      <c r="C2" s="1521"/>
      <c r="D2" s="1521"/>
      <c r="E2" s="1521"/>
      <c r="F2" s="1521"/>
      <c r="G2" s="1521"/>
      <c r="H2" s="1521"/>
      <c r="I2" s="1521"/>
      <c r="J2" s="1521"/>
      <c r="K2" s="1521"/>
      <c r="L2" s="1521"/>
      <c r="M2" s="1521"/>
      <c r="N2" s="1521"/>
      <c r="O2" s="1521"/>
      <c r="P2" s="1521"/>
      <c r="Q2" s="1521"/>
      <c r="R2" s="1521"/>
      <c r="S2" s="1521"/>
    </row>
    <row r="3" spans="1:20" ht="15.5">
      <c r="A3" s="1521" t="s">
        <v>1151</v>
      </c>
      <c r="B3" s="1521"/>
      <c r="C3" s="1521"/>
      <c r="D3" s="1521"/>
      <c r="E3" s="1521"/>
      <c r="F3" s="1521"/>
      <c r="G3" s="1521"/>
      <c r="H3" s="1521"/>
      <c r="I3" s="1521"/>
      <c r="J3" s="1521"/>
      <c r="K3" s="1521"/>
      <c r="L3" s="1521"/>
      <c r="M3" s="1521"/>
      <c r="N3" s="1521"/>
      <c r="O3" s="1521"/>
      <c r="P3" s="1521"/>
      <c r="Q3" s="1521"/>
      <c r="R3" s="1521"/>
      <c r="S3" s="1521"/>
    </row>
    <row r="4" spans="1:20" ht="14">
      <c r="A4" s="1258"/>
      <c r="G4" s="1258"/>
      <c r="O4" s="1258"/>
    </row>
    <row r="5" spans="1:20" ht="14">
      <c r="A5" s="1258"/>
      <c r="G5" s="1258"/>
      <c r="O5" s="1258"/>
    </row>
    <row r="6" spans="1:20" ht="15.75" customHeight="1">
      <c r="C6" s="1532" t="s">
        <v>798</v>
      </c>
      <c r="D6" s="1532"/>
      <c r="E6" s="1532"/>
      <c r="F6" s="1532"/>
      <c r="G6" s="1532"/>
      <c r="H6" s="1532"/>
      <c r="I6" s="1532"/>
      <c r="J6" s="1532"/>
      <c r="K6" s="1532"/>
      <c r="L6" s="1532"/>
      <c r="M6" s="1532"/>
      <c r="N6" s="1532"/>
      <c r="O6" s="1532"/>
      <c r="P6" s="1532"/>
      <c r="Q6" s="1532"/>
    </row>
    <row r="8" spans="1:20" ht="15.75" customHeight="1">
      <c r="C8" s="1543" t="s">
        <v>871</v>
      </c>
      <c r="D8" s="1544"/>
      <c r="E8" s="1544"/>
      <c r="F8" s="1544"/>
      <c r="G8" s="1544"/>
      <c r="H8" s="1544"/>
      <c r="I8" s="1544"/>
      <c r="J8" s="1544"/>
      <c r="K8" s="1544"/>
      <c r="L8" s="1544"/>
      <c r="M8" s="1544"/>
      <c r="N8" s="1544"/>
      <c r="O8" s="1544"/>
      <c r="P8" s="1544"/>
      <c r="Q8" s="1545"/>
    </row>
    <row r="10" spans="1:20" ht="13">
      <c r="E10" s="1191" t="s">
        <v>799</v>
      </c>
      <c r="F10" s="1191"/>
      <c r="G10" s="1191" t="s">
        <v>800</v>
      </c>
      <c r="H10" s="1191"/>
      <c r="I10" s="1191" t="s">
        <v>801</v>
      </c>
      <c r="J10" s="1191"/>
      <c r="K10" s="1191" t="s">
        <v>802</v>
      </c>
      <c r="L10" s="1191"/>
      <c r="M10" s="1191" t="s">
        <v>803</v>
      </c>
      <c r="N10" s="1191"/>
      <c r="O10" s="1191" t="s">
        <v>804</v>
      </c>
      <c r="P10" s="1191"/>
      <c r="Q10" s="1191" t="s">
        <v>805</v>
      </c>
    </row>
    <row r="11" spans="1:20" ht="15" customHeight="1">
      <c r="C11" s="1535" t="s">
        <v>898</v>
      </c>
      <c r="D11" s="1335"/>
      <c r="E11" s="1537" t="s">
        <v>809</v>
      </c>
      <c r="G11" s="1539" t="s">
        <v>309</v>
      </c>
      <c r="I11" s="1539" t="s">
        <v>806</v>
      </c>
      <c r="K11" s="1259" t="s">
        <v>807</v>
      </c>
      <c r="M11" s="1260" t="s">
        <v>1500</v>
      </c>
      <c r="O11" s="1541" t="s">
        <v>808</v>
      </c>
      <c r="Q11" s="1260" t="s">
        <v>1592</v>
      </c>
    </row>
    <row r="12" spans="1:20" ht="25">
      <c r="C12" s="1536"/>
      <c r="D12" s="1335"/>
      <c r="E12" s="1538"/>
      <c r="F12" s="1261"/>
      <c r="G12" s="1540"/>
      <c r="H12" s="1261"/>
      <c r="I12" s="1540"/>
      <c r="J12" s="1261"/>
      <c r="K12" s="1262" t="s">
        <v>810</v>
      </c>
      <c r="M12" s="1337" t="s">
        <v>1152</v>
      </c>
      <c r="O12" s="1542"/>
      <c r="Q12" s="1337" t="s">
        <v>811</v>
      </c>
    </row>
    <row r="13" spans="1:20" ht="5.15" customHeight="1"/>
    <row r="14" spans="1:20" ht="13">
      <c r="A14" s="1263"/>
      <c r="B14" s="1263"/>
      <c r="C14" s="1196">
        <v>1</v>
      </c>
      <c r="D14" s="1263"/>
      <c r="E14" s="1264" t="s">
        <v>812</v>
      </c>
      <c r="F14" s="1263"/>
      <c r="G14" s="1265"/>
      <c r="H14" s="1263"/>
      <c r="I14" s="1265"/>
      <c r="J14" s="1263"/>
      <c r="K14" s="1266"/>
      <c r="M14" s="1034"/>
      <c r="O14" s="1267"/>
      <c r="Q14" s="1263"/>
    </row>
    <row r="15" spans="1:20" ht="5.15" customHeight="1"/>
    <row r="16" spans="1:20">
      <c r="C16" s="1196">
        <f>C14+1</f>
        <v>2</v>
      </c>
      <c r="E16" s="1253" t="s">
        <v>813</v>
      </c>
      <c r="G16" s="1036" t="s">
        <v>296</v>
      </c>
      <c r="I16" s="1265" t="s">
        <v>814</v>
      </c>
      <c r="K16" s="1033">
        <f>SUMIFS('1F - ADIT Remeasurement'!$AF$11:$AF$126,'1F - ADIT Remeasurement'!$E$11:$E$126,"Non-Property",'1F - ADIT Remeasurement'!$AH$11:$AH$126,"190")</f>
        <v>-5220329.6200069413</v>
      </c>
      <c r="L16" s="1032"/>
      <c r="M16" s="1033">
        <v>0</v>
      </c>
      <c r="N16" s="1032"/>
      <c r="O16" s="1033">
        <v>0</v>
      </c>
      <c r="P16" s="1032"/>
      <c r="Q16" s="1033">
        <f>M16+O16</f>
        <v>0</v>
      </c>
      <c r="T16" s="1215"/>
    </row>
    <row r="17" spans="1:20">
      <c r="C17" s="1196">
        <f>C16+1</f>
        <v>3</v>
      </c>
      <c r="E17" s="1253" t="s">
        <v>815</v>
      </c>
      <c r="G17" s="1036" t="s">
        <v>296</v>
      </c>
      <c r="I17" s="1265" t="s">
        <v>814</v>
      </c>
      <c r="K17" s="1037">
        <f>SUMIFS('1F - ADIT Remeasurement'!$AF$11:$AF$126,'1F - ADIT Remeasurement'!$E$11:$E$126,"Non-Property",'1F - ADIT Remeasurement'!$AH$11:$AH$126,"281")</f>
        <v>0</v>
      </c>
      <c r="L17" s="1038"/>
      <c r="M17" s="1037">
        <v>0</v>
      </c>
      <c r="N17" s="1038"/>
      <c r="O17" s="1037">
        <f>-K17/4</f>
        <v>0</v>
      </c>
      <c r="P17" s="1038"/>
      <c r="Q17" s="1037">
        <f>M17+O17</f>
        <v>0</v>
      </c>
    </row>
    <row r="18" spans="1:20">
      <c r="C18" s="1196">
        <f>C17+1</f>
        <v>4</v>
      </c>
      <c r="E18" s="1253" t="s">
        <v>816</v>
      </c>
      <c r="G18" s="1036" t="s">
        <v>296</v>
      </c>
      <c r="I18" s="1265" t="s">
        <v>814</v>
      </c>
      <c r="K18" s="1037">
        <f>SUMIFS('1F - ADIT Remeasurement'!$AF$11:$AF$126,'1F - ADIT Remeasurement'!$E$11:$E$126,"Non-Property",'1F - ADIT Remeasurement'!$AH$11:$AH$126,"282")</f>
        <v>0</v>
      </c>
      <c r="L18" s="1038"/>
      <c r="M18" s="1037">
        <v>0</v>
      </c>
      <c r="N18" s="1038"/>
      <c r="O18" s="1037">
        <f>-K18/4</f>
        <v>0</v>
      </c>
      <c r="P18" s="1038"/>
      <c r="Q18" s="1037">
        <f>M18+O18</f>
        <v>0</v>
      </c>
    </row>
    <row r="19" spans="1:20">
      <c r="C19" s="1196">
        <f>C18+1</f>
        <v>5</v>
      </c>
      <c r="E19" s="1253" t="s">
        <v>817</v>
      </c>
      <c r="G19" s="1036" t="s">
        <v>296</v>
      </c>
      <c r="I19" s="1265" t="s">
        <v>814</v>
      </c>
      <c r="K19" s="1037">
        <f>SUMIFS('1F - ADIT Remeasurement'!$AF$11:$AF$126,'1F - ADIT Remeasurement'!$E$11:$E$126,"Non-Property",'1F - ADIT Remeasurement'!$AH$11:$AH$126,"283")</f>
        <v>-1259450.4739000001</v>
      </c>
      <c r="L19" s="1038"/>
      <c r="M19" s="1037">
        <v>0</v>
      </c>
      <c r="N19" s="1038"/>
      <c r="O19" s="1037">
        <v>0</v>
      </c>
      <c r="P19" s="1038"/>
      <c r="Q19" s="1037">
        <f>M19+O19</f>
        <v>0</v>
      </c>
      <c r="T19" s="1215"/>
    </row>
    <row r="20" spans="1:20" ht="5.15" customHeight="1">
      <c r="K20" s="1268"/>
      <c r="M20" s="1268"/>
      <c r="O20" s="1268"/>
      <c r="Q20" s="1268"/>
    </row>
    <row r="21" spans="1:20" ht="13">
      <c r="C21" s="1196">
        <f>C19+1</f>
        <v>6</v>
      </c>
      <c r="E21" s="1189" t="s">
        <v>818</v>
      </c>
      <c r="K21" s="1034">
        <f>SUM(K15:K20)</f>
        <v>-6479780.0939069409</v>
      </c>
      <c r="L21" s="1034"/>
      <c r="M21" s="1034">
        <f>SUM(M15:M20)</f>
        <v>0</v>
      </c>
      <c r="N21" s="1032"/>
      <c r="O21" s="1034">
        <f>SUM(O15:O20)</f>
        <v>0</v>
      </c>
      <c r="P21" s="1034"/>
      <c r="Q21" s="1034">
        <f>SUM(Q15:Q20)</f>
        <v>0</v>
      </c>
    </row>
    <row r="22" spans="1:20">
      <c r="C22" s="1196"/>
    </row>
    <row r="23" spans="1:20" ht="13">
      <c r="A23" s="1263"/>
      <c r="B23" s="1263"/>
      <c r="C23" s="1196">
        <f>C21+1</f>
        <v>7</v>
      </c>
      <c r="D23" s="1263"/>
      <c r="E23" s="1264" t="s">
        <v>819</v>
      </c>
      <c r="F23" s="1263"/>
      <c r="G23" s="1265"/>
      <c r="H23" s="1263"/>
      <c r="I23" s="1265"/>
      <c r="J23" s="1263"/>
      <c r="K23" s="1266"/>
      <c r="M23" s="1034"/>
      <c r="O23" s="1267"/>
      <c r="Q23" s="1263"/>
    </row>
    <row r="24" spans="1:20" ht="5.15" customHeight="1"/>
    <row r="25" spans="1:20">
      <c r="C25" s="1196">
        <f>C23+1</f>
        <v>8</v>
      </c>
      <c r="E25" s="1253" t="s">
        <v>813</v>
      </c>
      <c r="G25" s="1036" t="s">
        <v>296</v>
      </c>
      <c r="I25" s="1265" t="s">
        <v>820</v>
      </c>
      <c r="K25" s="1033">
        <f>SUMIFS('1F - ADIT Remeasurement'!$AF$11:$AF$126,'1F - ADIT Remeasurement'!$E$11:$E$126,"Unprotected Property",'1F - ADIT Remeasurement'!$AH$11:$AH$126,"190")</f>
        <v>0</v>
      </c>
      <c r="L25" s="1032"/>
      <c r="M25" s="1033">
        <v>0</v>
      </c>
      <c r="N25" s="1032"/>
      <c r="O25" s="1033">
        <f>-K25/5</f>
        <v>0</v>
      </c>
      <c r="P25" s="1032"/>
      <c r="Q25" s="1033">
        <f>M25+O25</f>
        <v>0</v>
      </c>
    </row>
    <row r="26" spans="1:20">
      <c r="C26" s="1196">
        <f>C25+1</f>
        <v>9</v>
      </c>
      <c r="E26" s="1253" t="s">
        <v>815</v>
      </c>
      <c r="G26" s="1036" t="s">
        <v>296</v>
      </c>
      <c r="I26" s="1265" t="s">
        <v>820</v>
      </c>
      <c r="K26" s="1039">
        <f>SUMIFS('1F - ADIT Remeasurement'!$AF$11:$AF$126,'1F - ADIT Remeasurement'!$E$11:$E$126,"Unprotected Property",'1F - ADIT Remeasurement'!$AH$11:$AH$126,"281")</f>
        <v>0</v>
      </c>
      <c r="L26" s="1040"/>
      <c r="M26" s="1039">
        <v>0</v>
      </c>
      <c r="N26" s="1040"/>
      <c r="O26" s="1039">
        <f>-K26/5</f>
        <v>0</v>
      </c>
      <c r="P26" s="1040"/>
      <c r="Q26" s="1039">
        <f>M26+O26</f>
        <v>0</v>
      </c>
    </row>
    <row r="27" spans="1:20">
      <c r="C27" s="1196">
        <f>C26+1</f>
        <v>10</v>
      </c>
      <c r="E27" s="1253" t="s">
        <v>816</v>
      </c>
      <c r="G27" s="1036" t="s">
        <v>296</v>
      </c>
      <c r="I27" s="1265" t="s">
        <v>820</v>
      </c>
      <c r="K27" s="1037">
        <f>SUMIFS('1F - ADIT Remeasurement'!$AF$11:$AF$126,'1F - ADIT Remeasurement'!$E$11:$E$126,"Unprotected Property",'1F - ADIT Remeasurement'!$AH$11:$AH$126,"282")</f>
        <v>-37716819.563906267</v>
      </c>
      <c r="L27" s="1040"/>
      <c r="M27" s="1037">
        <f>-7543364</f>
        <v>-7543364</v>
      </c>
      <c r="N27" s="1038"/>
      <c r="O27" s="1037">
        <v>7543364</v>
      </c>
      <c r="P27" s="1038"/>
      <c r="Q27" s="1037">
        <f>M27+O27</f>
        <v>0</v>
      </c>
      <c r="T27" s="1215"/>
    </row>
    <row r="28" spans="1:20">
      <c r="C28" s="1196">
        <f>C27+1</f>
        <v>11</v>
      </c>
      <c r="E28" s="1253" t="s">
        <v>817</v>
      </c>
      <c r="G28" s="1036" t="s">
        <v>296</v>
      </c>
      <c r="I28" s="1265" t="s">
        <v>820</v>
      </c>
      <c r="K28" s="1039">
        <f>SUMIFS('1F - ADIT Remeasurement'!$AF$11:$AF$126,'1F - ADIT Remeasurement'!$E$11:$E$126,"Unprotected Property",'1F - ADIT Remeasurement'!$AH$11:$AH$126,"283")</f>
        <v>0</v>
      </c>
      <c r="L28" s="1040"/>
      <c r="M28" s="1039">
        <v>0</v>
      </c>
      <c r="N28" s="1040"/>
      <c r="O28" s="1039">
        <f>-K28/5</f>
        <v>0</v>
      </c>
      <c r="P28" s="1040"/>
      <c r="Q28" s="1039">
        <f>M28+O28</f>
        <v>0</v>
      </c>
    </row>
    <row r="29" spans="1:20" ht="5.15" customHeight="1">
      <c r="K29" s="1268"/>
      <c r="M29" s="1268"/>
      <c r="O29" s="1268"/>
      <c r="Q29" s="1268"/>
    </row>
    <row r="30" spans="1:20" ht="13">
      <c r="C30" s="1196">
        <f>C28+1</f>
        <v>12</v>
      </c>
      <c r="E30" s="1189" t="s">
        <v>818</v>
      </c>
      <c r="K30" s="1034">
        <f>SUM(K24:K29)</f>
        <v>-37716819.563906267</v>
      </c>
      <c r="L30" s="1032"/>
      <c r="M30" s="1034">
        <f>SUM(M24:M29)</f>
        <v>-7543364</v>
      </c>
      <c r="N30" s="1034"/>
      <c r="O30" s="1034">
        <f>SUM(O24:O29)</f>
        <v>7543364</v>
      </c>
      <c r="P30" s="1034"/>
      <c r="Q30" s="1034">
        <f>SUM(Q24:Q29)</f>
        <v>0</v>
      </c>
    </row>
    <row r="32" spans="1:20" ht="13">
      <c r="A32" s="1263"/>
      <c r="B32" s="1263"/>
      <c r="C32" s="1196">
        <f>C30+1</f>
        <v>13</v>
      </c>
      <c r="D32" s="1263"/>
      <c r="E32" s="1264" t="s">
        <v>821</v>
      </c>
      <c r="F32" s="1263"/>
      <c r="G32" s="1265"/>
      <c r="H32" s="1263"/>
      <c r="I32" s="1265"/>
      <c r="J32" s="1263"/>
      <c r="K32" s="1266"/>
      <c r="M32" s="1034"/>
      <c r="O32" s="1267"/>
      <c r="Q32" s="1263"/>
    </row>
    <row r="33" spans="3:20" ht="5.15" customHeight="1"/>
    <row r="34" spans="3:20">
      <c r="C34" s="1196">
        <f>C32+1</f>
        <v>14</v>
      </c>
      <c r="E34" s="1253" t="s">
        <v>813</v>
      </c>
      <c r="G34" s="1036" t="s">
        <v>296</v>
      </c>
      <c r="I34" s="1265" t="s">
        <v>822</v>
      </c>
      <c r="K34" s="1033">
        <f>SUMIFS('1F - ADIT Remeasurement'!$AF$11:$AF$126,'1F - ADIT Remeasurement'!$E$11:$E$126,"Protected Property",'1F - ADIT Remeasurement'!$AH$11:$AH$126,"190")</f>
        <v>0</v>
      </c>
      <c r="L34" s="1032"/>
      <c r="M34" s="1033">
        <v>0</v>
      </c>
      <c r="N34" s="1032"/>
      <c r="O34" s="1033">
        <v>0</v>
      </c>
      <c r="P34" s="1032"/>
      <c r="Q34" s="1033">
        <f>M34+O34</f>
        <v>0</v>
      </c>
    </row>
    <row r="35" spans="3:20">
      <c r="C35" s="1196">
        <f>C34+1</f>
        <v>15</v>
      </c>
      <c r="E35" s="1253" t="s">
        <v>815</v>
      </c>
      <c r="G35" s="1036" t="s">
        <v>296</v>
      </c>
      <c r="I35" s="1265" t="s">
        <v>822</v>
      </c>
      <c r="K35" s="1037">
        <f>SUMIFS('1F - ADIT Remeasurement'!$AF$11:$AF$126,'1F - ADIT Remeasurement'!$E$11:$E$126,"Protected Property",'1F - ADIT Remeasurement'!$AH$11:$AH$126,"281")</f>
        <v>0</v>
      </c>
      <c r="L35" s="1038"/>
      <c r="M35" s="1037">
        <v>0</v>
      </c>
      <c r="N35" s="1038"/>
      <c r="O35" s="1037">
        <v>0</v>
      </c>
      <c r="P35" s="1038"/>
      <c r="Q35" s="1037">
        <f>M35+O35</f>
        <v>0</v>
      </c>
    </row>
    <row r="36" spans="3:20">
      <c r="C36" s="1196">
        <f>C35+1</f>
        <v>16</v>
      </c>
      <c r="E36" s="1253" t="s">
        <v>816</v>
      </c>
      <c r="G36" s="1036" t="s">
        <v>296</v>
      </c>
      <c r="I36" s="1265" t="s">
        <v>822</v>
      </c>
      <c r="K36" s="1037">
        <f>SUMIFS('1F - ADIT Remeasurement'!$AF$11:$AF$126,'1F - ADIT Remeasurement'!$E$11:$E$126,"Protected Property",'1F - ADIT Remeasurement'!$AH$11:$AH$126,"282")</f>
        <v>-70691097.607948944</v>
      </c>
      <c r="L36" s="1038"/>
      <c r="M36" s="1037">
        <f>-62840806</f>
        <v>-62840806</v>
      </c>
      <c r="N36" s="1038"/>
      <c r="O36" s="1037">
        <v>2049297</v>
      </c>
      <c r="P36" s="1038"/>
      <c r="Q36" s="1037">
        <f>M36+O36</f>
        <v>-60791509</v>
      </c>
    </row>
    <row r="37" spans="3:20">
      <c r="C37" s="1196">
        <f>C36+1</f>
        <v>17</v>
      </c>
      <c r="E37" s="1253" t="s">
        <v>817</v>
      </c>
      <c r="G37" s="1036" t="s">
        <v>296</v>
      </c>
      <c r="I37" s="1265" t="s">
        <v>822</v>
      </c>
      <c r="K37" s="1037">
        <f>SUMIFS('1F - ADIT Remeasurement'!$AF$11:$AF$126,'1F - ADIT Remeasurement'!$E$11:$E$126,"Protected Property",'1F - ADIT Remeasurement'!$AH$11:$AH$126,"283")</f>
        <v>0</v>
      </c>
      <c r="L37" s="1038"/>
      <c r="M37" s="1037">
        <v>0</v>
      </c>
      <c r="N37" s="1038"/>
      <c r="O37" s="1037">
        <v>0</v>
      </c>
      <c r="P37" s="1038"/>
      <c r="Q37" s="1037">
        <f>M37+O37</f>
        <v>0</v>
      </c>
    </row>
    <row r="38" spans="3:20" ht="5.15" customHeight="1">
      <c r="K38" s="1268"/>
      <c r="M38" s="1268"/>
      <c r="O38" s="1268"/>
      <c r="Q38" s="1268"/>
    </row>
    <row r="39" spans="3:20" ht="13">
      <c r="C39" s="1196">
        <f>C37+1</f>
        <v>18</v>
      </c>
      <c r="E39" s="1189" t="s">
        <v>818</v>
      </c>
      <c r="K39" s="1034">
        <f>SUM(K33:K38)</f>
        <v>-70691097.607948944</v>
      </c>
      <c r="L39" s="1032"/>
      <c r="M39" s="1034">
        <f>SUM(M33:M38)</f>
        <v>-62840806</v>
      </c>
      <c r="N39" s="1032"/>
      <c r="O39" s="1034">
        <f>SUM(O33:O38)</f>
        <v>2049297</v>
      </c>
      <c r="P39" s="1034"/>
      <c r="Q39" s="1034">
        <f>SUM(Q33:Q38)</f>
        <v>-60791509</v>
      </c>
      <c r="T39" s="1215"/>
    </row>
    <row r="41" spans="3:20" ht="13.5" thickBot="1">
      <c r="C41" s="1196">
        <f>C39+1</f>
        <v>19</v>
      </c>
      <c r="E41" s="1189" t="s">
        <v>823</v>
      </c>
      <c r="K41" s="1041">
        <f>K21+K30+K39</f>
        <v>-114887697.26576215</v>
      </c>
      <c r="L41" s="1034"/>
      <c r="M41" s="1041">
        <f>M21+M30+M39</f>
        <v>-70384170</v>
      </c>
      <c r="N41" s="1034"/>
      <c r="O41" s="1041">
        <f>O21+O30+O39</f>
        <v>9592661</v>
      </c>
      <c r="P41" s="1034"/>
      <c r="Q41" s="1041">
        <f>Q21+Q30+Q39</f>
        <v>-60791509</v>
      </c>
      <c r="T41" s="1269"/>
    </row>
    <row r="44" spans="3:20" ht="15.75" customHeight="1">
      <c r="C44" s="1543" t="s">
        <v>824</v>
      </c>
      <c r="D44" s="1544"/>
      <c r="E44" s="1544"/>
      <c r="F44" s="1544"/>
      <c r="G44" s="1544"/>
      <c r="H44" s="1544"/>
      <c r="I44" s="1544"/>
      <c r="J44" s="1544"/>
      <c r="K44" s="1544"/>
      <c r="L44" s="1544"/>
      <c r="M44" s="1544"/>
      <c r="N44" s="1544"/>
      <c r="O44" s="1544"/>
      <c r="P44" s="1544"/>
      <c r="Q44" s="1545"/>
    </row>
    <row r="46" spans="3:20" ht="13">
      <c r="E46" s="1191" t="s">
        <v>799</v>
      </c>
      <c r="F46" s="1191"/>
      <c r="G46" s="1191" t="s">
        <v>800</v>
      </c>
      <c r="H46" s="1191"/>
      <c r="I46" s="1191" t="s">
        <v>801</v>
      </c>
      <c r="J46" s="1191"/>
      <c r="K46" s="1191" t="s">
        <v>802</v>
      </c>
      <c r="L46" s="1191"/>
      <c r="M46" s="1191" t="s">
        <v>803</v>
      </c>
      <c r="N46" s="1191"/>
      <c r="O46" s="1191" t="s">
        <v>804</v>
      </c>
      <c r="P46" s="1191"/>
      <c r="Q46" s="1191" t="s">
        <v>805</v>
      </c>
    </row>
    <row r="47" spans="3:20" ht="15" customHeight="1">
      <c r="C47" s="1535" t="s">
        <v>898</v>
      </c>
      <c r="D47" s="1335"/>
      <c r="E47" s="1537" t="s">
        <v>809</v>
      </c>
      <c r="G47" s="1539" t="s">
        <v>309</v>
      </c>
      <c r="I47" s="1539" t="s">
        <v>806</v>
      </c>
      <c r="K47" s="1270" t="s">
        <v>825</v>
      </c>
      <c r="M47" s="1260" t="s">
        <v>1500</v>
      </c>
      <c r="O47" s="1541" t="s">
        <v>808</v>
      </c>
      <c r="Q47" s="1260" t="s">
        <v>1592</v>
      </c>
    </row>
    <row r="48" spans="3:20" ht="25">
      <c r="C48" s="1536"/>
      <c r="D48" s="1335"/>
      <c r="E48" s="1538"/>
      <c r="F48" s="1261"/>
      <c r="G48" s="1540"/>
      <c r="H48" s="1261"/>
      <c r="I48" s="1540"/>
      <c r="J48" s="1261"/>
      <c r="K48" s="1262" t="s">
        <v>810</v>
      </c>
      <c r="M48" s="1337" t="s">
        <v>1152</v>
      </c>
      <c r="O48" s="1542"/>
      <c r="Q48" s="1337" t="s">
        <v>811</v>
      </c>
    </row>
    <row r="49" spans="1:20" ht="5.15" customHeight="1"/>
    <row r="50" spans="1:20" ht="13">
      <c r="A50" s="1263"/>
      <c r="B50" s="1263"/>
      <c r="C50" s="1196">
        <f>C41+1</f>
        <v>20</v>
      </c>
      <c r="D50" s="1263"/>
      <c r="E50" s="1264" t="s">
        <v>821</v>
      </c>
      <c r="F50" s="1263"/>
      <c r="G50" s="1265"/>
      <c r="H50" s="1263"/>
      <c r="I50" s="1265"/>
      <c r="J50" s="1263"/>
      <c r="K50" s="1266"/>
      <c r="M50" s="1034"/>
      <c r="O50" s="1267"/>
      <c r="Q50" s="1263"/>
    </row>
    <row r="51" spans="1:20" ht="5.15" customHeight="1"/>
    <row r="52" spans="1:20">
      <c r="C52" s="1196">
        <f>C50+1</f>
        <v>21</v>
      </c>
      <c r="E52" s="1253" t="s">
        <v>813</v>
      </c>
      <c r="G52" s="1036" t="s">
        <v>359</v>
      </c>
      <c r="I52" s="1265" t="s">
        <v>822</v>
      </c>
      <c r="K52" s="1033">
        <v>0</v>
      </c>
      <c r="L52" s="1032"/>
      <c r="M52" s="1033">
        <v>0</v>
      </c>
      <c r="N52" s="1032"/>
      <c r="O52" s="1033">
        <v>0</v>
      </c>
      <c r="P52" s="1032"/>
      <c r="Q52" s="1033">
        <f>M52+O52</f>
        <v>0</v>
      </c>
    </row>
    <row r="53" spans="1:20">
      <c r="C53" s="1196">
        <f>C52+1</f>
        <v>22</v>
      </c>
      <c r="E53" s="1253" t="s">
        <v>815</v>
      </c>
      <c r="G53" s="1036" t="s">
        <v>359</v>
      </c>
      <c r="I53" s="1265" t="s">
        <v>822</v>
      </c>
      <c r="K53" s="1037">
        <v>0</v>
      </c>
      <c r="L53" s="1038"/>
      <c r="M53" s="1037">
        <v>0</v>
      </c>
      <c r="N53" s="1038"/>
      <c r="O53" s="1037">
        <v>0</v>
      </c>
      <c r="P53" s="1038"/>
      <c r="Q53" s="1037">
        <f>M53+O53</f>
        <v>0</v>
      </c>
    </row>
    <row r="54" spans="1:20">
      <c r="C54" s="1196">
        <f>C53+1</f>
        <v>23</v>
      </c>
      <c r="E54" s="1253" t="s">
        <v>816</v>
      </c>
      <c r="G54" s="1036" t="s">
        <v>359</v>
      </c>
      <c r="I54" s="1265" t="s">
        <v>822</v>
      </c>
      <c r="K54" s="1037">
        <v>-759803</v>
      </c>
      <c r="L54" s="1038"/>
      <c r="M54" s="1037">
        <f>-386125</f>
        <v>-386125</v>
      </c>
      <c r="N54" s="1038"/>
      <c r="O54" s="1037">
        <f>122618</f>
        <v>122618</v>
      </c>
      <c r="P54" s="1038"/>
      <c r="Q54" s="1037">
        <f>M54+O54</f>
        <v>-263507</v>
      </c>
    </row>
    <row r="55" spans="1:20">
      <c r="C55" s="1196">
        <f>C54+1</f>
        <v>24</v>
      </c>
      <c r="E55" s="1253" t="s">
        <v>817</v>
      </c>
      <c r="G55" s="1036" t="s">
        <v>359</v>
      </c>
      <c r="I55" s="1265" t="s">
        <v>822</v>
      </c>
      <c r="K55" s="1037">
        <v>0</v>
      </c>
      <c r="L55" s="1038"/>
      <c r="M55" s="1037">
        <v>0</v>
      </c>
      <c r="N55" s="1038"/>
      <c r="O55" s="1037">
        <v>0</v>
      </c>
      <c r="P55" s="1038"/>
      <c r="Q55" s="1037">
        <f>M55+O55</f>
        <v>0</v>
      </c>
      <c r="R55" s="1190" t="s">
        <v>154</v>
      </c>
      <c r="S55" s="1190" t="s">
        <v>154</v>
      </c>
      <c r="T55" s="1190" t="s">
        <v>154</v>
      </c>
    </row>
    <row r="56" spans="1:20" ht="5.15" customHeight="1">
      <c r="K56" s="1268"/>
      <c r="M56" s="1268"/>
      <c r="O56" s="1268"/>
      <c r="Q56" s="1268"/>
    </row>
    <row r="57" spans="1:20" ht="13">
      <c r="C57" s="1196">
        <f>C55+1</f>
        <v>25</v>
      </c>
      <c r="E57" s="1189" t="s">
        <v>818</v>
      </c>
      <c r="K57" s="1034">
        <f>SUM(K51:K56)</f>
        <v>-759803</v>
      </c>
      <c r="L57" s="1034"/>
      <c r="M57" s="1034">
        <f>SUM(M51:M56)</f>
        <v>-386125</v>
      </c>
      <c r="N57" s="1034"/>
      <c r="O57" s="1034">
        <f>SUM(O51:O56)</f>
        <v>122618</v>
      </c>
      <c r="P57" s="1034"/>
      <c r="Q57" s="1034">
        <f>SUM(Q51:Q56)</f>
        <v>-263507</v>
      </c>
    </row>
    <row r="59" spans="1:20" ht="13.5" thickBot="1">
      <c r="C59" s="1196">
        <f>C57+1</f>
        <v>26</v>
      </c>
      <c r="E59" s="1189" t="s">
        <v>823</v>
      </c>
      <c r="K59" s="1041">
        <f>K57</f>
        <v>-759803</v>
      </c>
      <c r="L59" s="1034"/>
      <c r="M59" s="1041">
        <f>M57</f>
        <v>-386125</v>
      </c>
      <c r="N59" s="1034"/>
      <c r="O59" s="1041">
        <f>O57</f>
        <v>122618</v>
      </c>
      <c r="P59" s="1034"/>
      <c r="Q59" s="1041">
        <f>Q57</f>
        <v>-263507</v>
      </c>
    </row>
    <row r="60" spans="1:20" ht="13">
      <c r="C60" s="1196"/>
      <c r="E60" s="1189"/>
      <c r="K60" s="1042"/>
      <c r="L60" s="1034"/>
      <c r="M60" s="1042"/>
      <c r="N60" s="1034"/>
      <c r="P60" s="1034"/>
    </row>
    <row r="61" spans="1:20" ht="13">
      <c r="C61" s="1196"/>
      <c r="E61" s="1189"/>
      <c r="L61" s="1034"/>
      <c r="N61" s="1034"/>
      <c r="P61" s="1034"/>
      <c r="T61" s="1269"/>
    </row>
    <row r="62" spans="1:20" ht="15.75" customHeight="1">
      <c r="C62" s="1543" t="s">
        <v>826</v>
      </c>
      <c r="D62" s="1544"/>
      <c r="E62" s="1544"/>
      <c r="F62" s="1544"/>
      <c r="G62" s="1544"/>
      <c r="H62" s="1544"/>
      <c r="I62" s="1544"/>
      <c r="J62" s="1544"/>
      <c r="K62" s="1544"/>
      <c r="L62" s="1544"/>
      <c r="M62" s="1544"/>
      <c r="N62" s="1544"/>
      <c r="O62" s="1544"/>
      <c r="P62" s="1544"/>
      <c r="Q62" s="1545"/>
    </row>
    <row r="64" spans="1:20" ht="13">
      <c r="E64" s="1191" t="s">
        <v>799</v>
      </c>
      <c r="F64" s="1191"/>
      <c r="G64" s="1191" t="s">
        <v>800</v>
      </c>
      <c r="H64" s="1191"/>
      <c r="I64" s="1191" t="s">
        <v>801</v>
      </c>
      <c r="J64" s="1191"/>
      <c r="K64" s="1191" t="s">
        <v>802</v>
      </c>
      <c r="L64" s="1191"/>
      <c r="M64" s="1191" t="s">
        <v>803</v>
      </c>
      <c r="N64" s="1191"/>
      <c r="O64" s="1191" t="s">
        <v>804</v>
      </c>
      <c r="P64" s="1191"/>
      <c r="Q64" s="1191" t="s">
        <v>805</v>
      </c>
    </row>
    <row r="65" spans="1:20" ht="15" customHeight="1">
      <c r="C65" s="1535" t="s">
        <v>898</v>
      </c>
      <c r="D65" s="1335"/>
      <c r="E65" s="1537" t="s">
        <v>809</v>
      </c>
      <c r="G65" s="1539" t="s">
        <v>309</v>
      </c>
      <c r="I65" s="1539" t="s">
        <v>806</v>
      </c>
      <c r="K65" s="1259"/>
      <c r="M65" s="1260" t="s">
        <v>1500</v>
      </c>
      <c r="O65" s="1541" t="s">
        <v>808</v>
      </c>
      <c r="Q65" s="1260" t="s">
        <v>1592</v>
      </c>
    </row>
    <row r="66" spans="1:20" ht="25">
      <c r="C66" s="1536"/>
      <c r="D66" s="1335"/>
      <c r="E66" s="1538"/>
      <c r="F66" s="1261"/>
      <c r="G66" s="1540"/>
      <c r="H66" s="1261"/>
      <c r="I66" s="1540"/>
      <c r="J66" s="1261"/>
      <c r="K66" s="1262" t="s">
        <v>810</v>
      </c>
      <c r="M66" s="1337" t="s">
        <v>1152</v>
      </c>
      <c r="O66" s="1542"/>
      <c r="Q66" s="1337" t="s">
        <v>811</v>
      </c>
    </row>
    <row r="67" spans="1:20" ht="5.15" customHeight="1"/>
    <row r="68" spans="1:20" ht="13">
      <c r="A68" s="1263"/>
      <c r="B68" s="1263"/>
      <c r="C68" s="1196">
        <f>C59+1</f>
        <v>27</v>
      </c>
      <c r="D68" s="1263"/>
      <c r="E68" s="1264" t="s">
        <v>812</v>
      </c>
      <c r="F68" s="1263"/>
      <c r="G68" s="1265"/>
      <c r="H68" s="1263"/>
      <c r="I68" s="1265"/>
      <c r="J68" s="1263"/>
      <c r="K68" s="1266"/>
      <c r="M68" s="1034"/>
      <c r="O68" s="1267"/>
      <c r="Q68" s="1263"/>
    </row>
    <row r="69" spans="1:20" ht="5.15" customHeight="1"/>
    <row r="70" spans="1:20">
      <c r="C70" s="1196">
        <f>C68+1</f>
        <v>28</v>
      </c>
      <c r="E70" s="1253" t="s">
        <v>813</v>
      </c>
      <c r="G70" s="1036"/>
      <c r="I70" s="1265"/>
      <c r="K70" s="1033">
        <f>K16</f>
        <v>-5220329.6200069413</v>
      </c>
      <c r="L70" s="1032"/>
      <c r="M70" s="1033">
        <f>M16</f>
        <v>0</v>
      </c>
      <c r="N70" s="1032"/>
      <c r="O70" s="1033">
        <f>O16</f>
        <v>0</v>
      </c>
      <c r="P70" s="1032"/>
      <c r="Q70" s="1033">
        <f>M70+O70</f>
        <v>0</v>
      </c>
      <c r="T70" s="1215"/>
    </row>
    <row r="71" spans="1:20">
      <c r="C71" s="1196">
        <f>C70+1</f>
        <v>29</v>
      </c>
      <c r="E71" s="1253" t="s">
        <v>815</v>
      </c>
      <c r="G71" s="1036"/>
      <c r="I71" s="1265"/>
      <c r="K71" s="1037">
        <f>K17</f>
        <v>0</v>
      </c>
      <c r="M71" s="1037">
        <f>M17</f>
        <v>0</v>
      </c>
      <c r="O71" s="1037">
        <f>O17</f>
        <v>0</v>
      </c>
      <c r="Q71" s="1255">
        <f>M71+O71</f>
        <v>0</v>
      </c>
    </row>
    <row r="72" spans="1:20">
      <c r="C72" s="1196">
        <f>C71+1</f>
        <v>30</v>
      </c>
      <c r="E72" s="1253" t="s">
        <v>816</v>
      </c>
      <c r="G72" s="1036"/>
      <c r="I72" s="1265"/>
      <c r="K72" s="1037">
        <f>K18</f>
        <v>0</v>
      </c>
      <c r="M72" s="1037">
        <f>M18</f>
        <v>0</v>
      </c>
      <c r="O72" s="1037">
        <f>O18</f>
        <v>0</v>
      </c>
      <c r="Q72" s="1255">
        <f>M72+O72</f>
        <v>0</v>
      </c>
    </row>
    <row r="73" spans="1:20">
      <c r="C73" s="1196">
        <f>C72+1</f>
        <v>31</v>
      </c>
      <c r="E73" s="1253" t="s">
        <v>817</v>
      </c>
      <c r="G73" s="1036"/>
      <c r="I73" s="1265"/>
      <c r="K73" s="1037">
        <f>K19</f>
        <v>-1259450.4739000001</v>
      </c>
      <c r="M73" s="1037">
        <f>M19</f>
        <v>0</v>
      </c>
      <c r="O73" s="1037">
        <f>O19</f>
        <v>0</v>
      </c>
      <c r="Q73" s="1255">
        <f>M73+O73</f>
        <v>0</v>
      </c>
      <c r="T73" s="1215"/>
    </row>
    <row r="74" spans="1:20" ht="5.15" customHeight="1">
      <c r="K74" s="1268"/>
      <c r="M74" s="1268"/>
      <c r="O74" s="1268"/>
      <c r="Q74" s="1268"/>
    </row>
    <row r="75" spans="1:20" ht="13">
      <c r="C75" s="1196">
        <f>C73+1</f>
        <v>32</v>
      </c>
      <c r="E75" s="1189" t="s">
        <v>818</v>
      </c>
      <c r="K75" s="1034">
        <f>SUM(K69:K74)</f>
        <v>-6479780.0939069409</v>
      </c>
      <c r="L75" s="1034"/>
      <c r="M75" s="1034">
        <f>SUM(M69:M74)</f>
        <v>0</v>
      </c>
      <c r="N75" s="1032"/>
      <c r="O75" s="1034">
        <f>SUM(O69:O74)</f>
        <v>0</v>
      </c>
      <c r="P75" s="1034"/>
      <c r="Q75" s="1034">
        <f>SUM(Q69:Q74)</f>
        <v>0</v>
      </c>
    </row>
    <row r="76" spans="1:20">
      <c r="C76" s="1196"/>
    </row>
    <row r="77" spans="1:20" ht="13">
      <c r="A77" s="1263"/>
      <c r="B77" s="1263"/>
      <c r="C77" s="1196">
        <f>C75+1</f>
        <v>33</v>
      </c>
      <c r="D77" s="1263"/>
      <c r="E77" s="1264" t="s">
        <v>819</v>
      </c>
      <c r="F77" s="1263"/>
      <c r="G77" s="1265"/>
      <c r="H77" s="1263"/>
      <c r="I77" s="1265"/>
      <c r="J77" s="1263"/>
      <c r="K77" s="1266"/>
      <c r="M77" s="1034"/>
      <c r="O77" s="1267"/>
      <c r="Q77" s="1263"/>
    </row>
    <row r="78" spans="1:20" ht="5.15" customHeight="1"/>
    <row r="79" spans="1:20">
      <c r="C79" s="1196">
        <f>C77+1</f>
        <v>34</v>
      </c>
      <c r="E79" s="1253" t="s">
        <v>813</v>
      </c>
      <c r="G79" s="1036"/>
      <c r="I79" s="1265"/>
      <c r="K79" s="1033">
        <f>K25</f>
        <v>0</v>
      </c>
      <c r="L79" s="1032"/>
      <c r="M79" s="1033">
        <f>M25</f>
        <v>0</v>
      </c>
      <c r="N79" s="1034"/>
      <c r="O79" s="1033">
        <f>O25</f>
        <v>0</v>
      </c>
      <c r="P79" s="1034"/>
      <c r="Q79" s="1033">
        <f>M79+O79</f>
        <v>0</v>
      </c>
    </row>
    <row r="80" spans="1:20">
      <c r="C80" s="1196">
        <f>C79+1</f>
        <v>35</v>
      </c>
      <c r="E80" s="1253" t="s">
        <v>815</v>
      </c>
      <c r="G80" s="1036"/>
      <c r="I80" s="1265"/>
      <c r="K80" s="1037">
        <f>K26</f>
        <v>0</v>
      </c>
      <c r="M80" s="1037">
        <f>M26</f>
        <v>0</v>
      </c>
      <c r="O80" s="1037">
        <f>O26</f>
        <v>0</v>
      </c>
      <c r="Q80" s="1255">
        <f>M80+O80</f>
        <v>0</v>
      </c>
    </row>
    <row r="81" spans="1:20">
      <c r="C81" s="1196">
        <f>C80+1</f>
        <v>36</v>
      </c>
      <c r="E81" s="1253" t="s">
        <v>816</v>
      </c>
      <c r="G81" s="1036"/>
      <c r="I81" s="1265"/>
      <c r="K81" s="1037">
        <f>K27</f>
        <v>-37716819.563906267</v>
      </c>
      <c r="M81" s="1037">
        <f>M27</f>
        <v>-7543364</v>
      </c>
      <c r="O81" s="1037">
        <f>O27</f>
        <v>7543364</v>
      </c>
      <c r="Q81" s="1255">
        <f>M81+O81</f>
        <v>0</v>
      </c>
      <c r="T81" s="1215"/>
    </row>
    <row r="82" spans="1:20">
      <c r="C82" s="1196">
        <f>C81+1</f>
        <v>37</v>
      </c>
      <c r="E82" s="1253" t="s">
        <v>817</v>
      </c>
      <c r="G82" s="1036"/>
      <c r="I82" s="1265"/>
      <c r="K82" s="1037">
        <f>K28</f>
        <v>0</v>
      </c>
      <c r="M82" s="1037">
        <f>M28</f>
        <v>0</v>
      </c>
      <c r="O82" s="1037">
        <f>O28</f>
        <v>0</v>
      </c>
      <c r="Q82" s="1255">
        <f>M82+O82</f>
        <v>0</v>
      </c>
    </row>
    <row r="83" spans="1:20" ht="5.15" customHeight="1">
      <c r="K83" s="1268"/>
      <c r="M83" s="1268"/>
      <c r="O83" s="1268"/>
      <c r="Q83" s="1268"/>
    </row>
    <row r="84" spans="1:20" ht="13">
      <c r="C84" s="1196">
        <f>C82+1</f>
        <v>38</v>
      </c>
      <c r="E84" s="1189" t="s">
        <v>818</v>
      </c>
      <c r="K84" s="1034">
        <f>SUM(K78:K83)</f>
        <v>-37716819.563906267</v>
      </c>
      <c r="L84" s="1032"/>
      <c r="M84" s="1034">
        <f>SUM(M78:M83)</f>
        <v>-7543364</v>
      </c>
      <c r="N84" s="1034"/>
      <c r="O84" s="1034">
        <f>SUM(O78:O83)</f>
        <v>7543364</v>
      </c>
      <c r="P84" s="1034"/>
      <c r="Q84" s="1034">
        <f>SUM(Q78:Q83)</f>
        <v>0</v>
      </c>
    </row>
    <row r="86" spans="1:20" ht="13">
      <c r="A86" s="1263"/>
      <c r="B86" s="1263"/>
      <c r="C86" s="1196">
        <f>C84+1</f>
        <v>39</v>
      </c>
      <c r="D86" s="1263"/>
      <c r="E86" s="1264" t="s">
        <v>821</v>
      </c>
      <c r="F86" s="1263"/>
      <c r="G86" s="1265"/>
      <c r="H86" s="1263"/>
      <c r="I86" s="1265"/>
      <c r="J86" s="1263"/>
      <c r="K86" s="1266"/>
      <c r="M86" s="1034"/>
      <c r="O86" s="1267"/>
      <c r="Q86" s="1263"/>
    </row>
    <row r="87" spans="1:20" ht="5.15" customHeight="1"/>
    <row r="88" spans="1:20">
      <c r="C88" s="1196">
        <f>C86+1</f>
        <v>40</v>
      </c>
      <c r="E88" s="1253" t="s">
        <v>813</v>
      </c>
      <c r="G88" s="1036"/>
      <c r="I88" s="1265"/>
      <c r="K88" s="1033">
        <f>K34+K52</f>
        <v>0</v>
      </c>
      <c r="M88" s="1033">
        <f>M34+M52</f>
        <v>0</v>
      </c>
      <c r="O88" s="1033">
        <f>O34+O52</f>
        <v>0</v>
      </c>
      <c r="Q88" s="1033">
        <f>Q34+Q52</f>
        <v>0</v>
      </c>
    </row>
    <row r="89" spans="1:20">
      <c r="C89" s="1196">
        <f>C88+1</f>
        <v>41</v>
      </c>
      <c r="E89" s="1253" t="s">
        <v>815</v>
      </c>
      <c r="G89" s="1036"/>
      <c r="I89" s="1265"/>
      <c r="K89" s="1037">
        <f>K35+K53</f>
        <v>0</v>
      </c>
      <c r="M89" s="1037">
        <f>M35+M53</f>
        <v>0</v>
      </c>
      <c r="O89" s="1037">
        <f>O35+O53</f>
        <v>0</v>
      </c>
      <c r="Q89" s="1037">
        <f>Q35+Q53</f>
        <v>0</v>
      </c>
    </row>
    <row r="90" spans="1:20">
      <c r="C90" s="1196">
        <f>C89+1</f>
        <v>42</v>
      </c>
      <c r="E90" s="1253" t="s">
        <v>816</v>
      </c>
      <c r="G90" s="1036"/>
      <c r="I90" s="1265"/>
      <c r="K90" s="1037">
        <f>K36+K54</f>
        <v>-71450900.607948944</v>
      </c>
      <c r="M90" s="1037">
        <f>M36+M54</f>
        <v>-63226931</v>
      </c>
      <c r="O90" s="1037">
        <f>O36+O54</f>
        <v>2171915</v>
      </c>
      <c r="Q90" s="1037">
        <f>Q36+Q54</f>
        <v>-61055016</v>
      </c>
    </row>
    <row r="91" spans="1:20">
      <c r="C91" s="1196">
        <f>C90+1</f>
        <v>43</v>
      </c>
      <c r="E91" s="1253" t="s">
        <v>817</v>
      </c>
      <c r="G91" s="1036"/>
      <c r="I91" s="1265"/>
      <c r="K91" s="1037">
        <f>K37+K55</f>
        <v>0</v>
      </c>
      <c r="M91" s="1037">
        <f>M37+M55</f>
        <v>0</v>
      </c>
      <c r="O91" s="1037">
        <f>O37+O55</f>
        <v>0</v>
      </c>
      <c r="Q91" s="1037">
        <f>Q37+Q55</f>
        <v>0</v>
      </c>
    </row>
    <row r="92" spans="1:20" ht="5.15" customHeight="1">
      <c r="K92" s="1268"/>
      <c r="M92" s="1268"/>
      <c r="O92" s="1268"/>
      <c r="Q92" s="1268"/>
    </row>
    <row r="93" spans="1:20" ht="13">
      <c r="C93" s="1196">
        <f>C91+1</f>
        <v>44</v>
      </c>
      <c r="E93" s="1189" t="s">
        <v>818</v>
      </c>
      <c r="K93" s="1034">
        <f>SUM(K87:K92)</f>
        <v>-71450900.607948944</v>
      </c>
      <c r="L93" s="1032"/>
      <c r="M93" s="1034">
        <f>SUM(M87:M92)</f>
        <v>-63226931</v>
      </c>
      <c r="N93" s="1032"/>
      <c r="O93" s="1034">
        <f>SUM(O87:O92)</f>
        <v>2171915</v>
      </c>
      <c r="P93" s="1034"/>
      <c r="Q93" s="1034">
        <f>SUM(Q87:Q92)</f>
        <v>-61055016</v>
      </c>
      <c r="T93" s="1215"/>
    </row>
    <row r="95" spans="1:20" ht="13.5" thickBot="1">
      <c r="C95" s="1196">
        <f>C93+1</f>
        <v>45</v>
      </c>
      <c r="E95" s="1189" t="s">
        <v>823</v>
      </c>
      <c r="K95" s="1041">
        <f>K75+K84+K93</f>
        <v>-115647500.26576215</v>
      </c>
      <c r="L95" s="1034"/>
      <c r="M95" s="1041">
        <f>M75+M84+M93</f>
        <v>-70770295</v>
      </c>
      <c r="N95" s="1034"/>
      <c r="O95" s="1041">
        <f>O75+O84+O93</f>
        <v>9715279</v>
      </c>
      <c r="P95" s="1034"/>
      <c r="Q95" s="1041">
        <f>Q75+Q84+Q93</f>
        <v>-61055016</v>
      </c>
      <c r="T95" s="1269"/>
    </row>
    <row r="96" spans="1:20" ht="13">
      <c r="C96" s="1196"/>
      <c r="E96" s="1189"/>
      <c r="K96" s="1042"/>
      <c r="L96" s="1034"/>
      <c r="M96" s="1042"/>
      <c r="N96" s="1034"/>
      <c r="O96" s="1042"/>
      <c r="P96" s="1034"/>
      <c r="Q96" s="1042"/>
      <c r="T96" s="1269"/>
    </row>
    <row r="97" spans="3:20" ht="13">
      <c r="C97" s="1196"/>
      <c r="E97" s="1189"/>
      <c r="L97" s="1034"/>
      <c r="N97" s="1034"/>
      <c r="P97" s="1034"/>
      <c r="T97" s="1269"/>
    </row>
    <row r="98" spans="3:20" ht="15.75" customHeight="1">
      <c r="C98" s="1543" t="s">
        <v>826</v>
      </c>
      <c r="D98" s="1544"/>
      <c r="E98" s="1544"/>
      <c r="F98" s="1544"/>
      <c r="G98" s="1544"/>
      <c r="H98" s="1544"/>
      <c r="I98" s="1544"/>
      <c r="J98" s="1544"/>
      <c r="K98" s="1544"/>
      <c r="L98" s="1544"/>
      <c r="M98" s="1544"/>
      <c r="N98" s="1544"/>
      <c r="O98" s="1544"/>
      <c r="P98" s="1544"/>
      <c r="Q98" s="1545"/>
    </row>
    <row r="100" spans="3:20" ht="13">
      <c r="E100" s="1191" t="s">
        <v>799</v>
      </c>
      <c r="F100" s="1191"/>
      <c r="G100" s="1191" t="s">
        <v>800</v>
      </c>
      <c r="H100" s="1191"/>
      <c r="I100" s="1191" t="s">
        <v>801</v>
      </c>
      <c r="J100" s="1191"/>
      <c r="K100" s="1191" t="s">
        <v>802</v>
      </c>
      <c r="L100" s="1191"/>
      <c r="M100" s="1191" t="s">
        <v>803</v>
      </c>
      <c r="N100" s="1191"/>
      <c r="O100" s="1191" t="s">
        <v>804</v>
      </c>
      <c r="P100" s="1191"/>
      <c r="Q100" s="1191" t="s">
        <v>805</v>
      </c>
    </row>
    <row r="101" spans="3:20" ht="15" customHeight="1">
      <c r="C101" s="1535" t="s">
        <v>898</v>
      </c>
      <c r="D101" s="1335"/>
      <c r="E101" s="1537" t="s">
        <v>809</v>
      </c>
      <c r="G101" s="1539" t="s">
        <v>309</v>
      </c>
      <c r="I101" s="1539" t="s">
        <v>806</v>
      </c>
      <c r="M101" s="1260" t="s">
        <v>1500</v>
      </c>
      <c r="O101" s="1541" t="s">
        <v>808</v>
      </c>
      <c r="Q101" s="1260" t="s">
        <v>1592</v>
      </c>
    </row>
    <row r="102" spans="3:20" ht="25">
      <c r="C102" s="1536"/>
      <c r="D102" s="1335"/>
      <c r="E102" s="1538"/>
      <c r="F102" s="1261"/>
      <c r="G102" s="1540"/>
      <c r="H102" s="1261"/>
      <c r="I102" s="1540"/>
      <c r="J102" s="1261"/>
      <c r="K102" s="1262" t="s">
        <v>810</v>
      </c>
      <c r="M102" s="1337" t="s">
        <v>1152</v>
      </c>
      <c r="O102" s="1542"/>
      <c r="Q102" s="1337" t="s">
        <v>811</v>
      </c>
    </row>
    <row r="103" spans="3:20" ht="5.15" customHeight="1"/>
    <row r="104" spans="3:20">
      <c r="C104" s="1196">
        <f>C95+1</f>
        <v>46</v>
      </c>
      <c r="E104" s="1253" t="s">
        <v>813</v>
      </c>
      <c r="K104" s="1033">
        <f>K16+K25+K34+K52</f>
        <v>-5220329.6200069413</v>
      </c>
      <c r="L104" s="1032"/>
      <c r="M104" s="1033">
        <f>M16+M25+M34+M52</f>
        <v>0</v>
      </c>
      <c r="N104" s="1032"/>
      <c r="O104" s="1033">
        <f>O16+O25+O34+O52</f>
        <v>0</v>
      </c>
      <c r="P104" s="1032"/>
      <c r="Q104" s="1033">
        <f>M104+O104</f>
        <v>0</v>
      </c>
    </row>
    <row r="105" spans="3:20">
      <c r="C105" s="1196">
        <f>C104+1</f>
        <v>47</v>
      </c>
      <c r="E105" s="1253" t="s">
        <v>815</v>
      </c>
      <c r="K105" s="1255">
        <f>K17+K26+K35+K53</f>
        <v>0</v>
      </c>
      <c r="M105" s="1255">
        <f>M17+M26+M35+M53</f>
        <v>0</v>
      </c>
      <c r="O105" s="1255">
        <f>O17+O26+O35+O53</f>
        <v>0</v>
      </c>
      <c r="Q105" s="1255">
        <f>M105+O105</f>
        <v>0</v>
      </c>
    </row>
    <row r="106" spans="3:20">
      <c r="C106" s="1196">
        <f>C105+1</f>
        <v>48</v>
      </c>
      <c r="E106" s="1253" t="s">
        <v>816</v>
      </c>
      <c r="K106" s="1255">
        <f>K18+K27+K36+K54</f>
        <v>-109167720.17185521</v>
      </c>
      <c r="M106" s="1255">
        <f>M18+M27+M36+M54</f>
        <v>-70770295</v>
      </c>
      <c r="O106" s="1255">
        <f>O18+O27+O36+O54</f>
        <v>9715279</v>
      </c>
      <c r="Q106" s="1255">
        <f>M106+O106</f>
        <v>-61055016</v>
      </c>
    </row>
    <row r="107" spans="3:20">
      <c r="C107" s="1196">
        <f>C106+1</f>
        <v>49</v>
      </c>
      <c r="E107" s="1253" t="s">
        <v>817</v>
      </c>
      <c r="K107" s="1255">
        <f>K19+K28+K37+K55</f>
        <v>-1259450.4739000001</v>
      </c>
      <c r="M107" s="1255">
        <f>M19+M28+M37+M55</f>
        <v>0</v>
      </c>
      <c r="O107" s="1255">
        <f>O19+O28+O37+O55</f>
        <v>0</v>
      </c>
      <c r="Q107" s="1255">
        <f>M107+O107</f>
        <v>0</v>
      </c>
    </row>
    <row r="108" spans="3:20" ht="5.15" customHeight="1">
      <c r="Q108" s="1268"/>
    </row>
    <row r="109" spans="3:20" ht="13">
      <c r="C109" s="1196">
        <f>C107+1</f>
        <v>50</v>
      </c>
      <c r="E109" s="1189" t="s">
        <v>823</v>
      </c>
      <c r="K109" s="1043">
        <f>SUM(K104:K108)</f>
        <v>-115647500.26576217</v>
      </c>
      <c r="L109" s="1034"/>
      <c r="M109" s="1043">
        <f>SUM(M104:M108)</f>
        <v>-70770295</v>
      </c>
      <c r="N109" s="1034"/>
      <c r="O109" s="1043">
        <f>SUM(O104:O108)</f>
        <v>9715279</v>
      </c>
      <c r="P109" s="1034"/>
      <c r="Q109" s="1043">
        <f>SUM(Q104:Q108)</f>
        <v>-61055016</v>
      </c>
    </row>
    <row r="110" spans="3:20" ht="5.15" customHeight="1"/>
    <row r="111" spans="3:20">
      <c r="C111" s="1196">
        <f>C109+1</f>
        <v>51</v>
      </c>
      <c r="E111" s="1253" t="s">
        <v>953</v>
      </c>
      <c r="G111" s="1190" t="s">
        <v>1319</v>
      </c>
      <c r="K111" s="1039">
        <v>1.3796433621908735</v>
      </c>
      <c r="M111" s="1039">
        <v>1.3796433621908735</v>
      </c>
      <c r="O111" s="1039">
        <v>1.3796433621908735</v>
      </c>
      <c r="Q111" s="1039">
        <v>1.3796433621908735</v>
      </c>
    </row>
    <row r="112" spans="3:20" ht="5.15" customHeight="1"/>
    <row r="113" spans="3:19" ht="13.5" thickBot="1">
      <c r="C113" s="1196">
        <f>C111+1</f>
        <v>52</v>
      </c>
      <c r="E113" s="1189" t="s">
        <v>827</v>
      </c>
      <c r="K113" s="1044">
        <f>K109*K111</f>
        <v>-159552306.09562606</v>
      </c>
      <c r="L113" s="1034"/>
      <c r="M113" s="1044">
        <f>M109*M111</f>
        <v>-97637767.737039968</v>
      </c>
      <c r="N113" s="1034"/>
      <c r="O113" s="1044">
        <f>O109*O111</f>
        <v>13403620.184182387</v>
      </c>
      <c r="P113" s="1034"/>
      <c r="Q113" s="1044">
        <f>Q109*Q111</f>
        <v>-84234147.552857578</v>
      </c>
      <c r="S113" s="1271"/>
    </row>
    <row r="114" spans="3:19" ht="13" thickTop="1"/>
    <row r="116" spans="3:19" ht="15.75" customHeight="1">
      <c r="C116" s="1543" t="s">
        <v>828</v>
      </c>
      <c r="D116" s="1544"/>
      <c r="E116" s="1544"/>
      <c r="F116" s="1544"/>
      <c r="G116" s="1544"/>
      <c r="H116" s="1544"/>
      <c r="I116" s="1544"/>
      <c r="J116" s="1544"/>
      <c r="K116" s="1544"/>
      <c r="L116" s="1544"/>
      <c r="M116" s="1544"/>
      <c r="N116" s="1544"/>
      <c r="O116" s="1544"/>
      <c r="P116" s="1544"/>
      <c r="Q116" s="1545"/>
    </row>
    <row r="118" spans="3:19" ht="13">
      <c r="E118" s="1191" t="s">
        <v>799</v>
      </c>
      <c r="F118" s="1191"/>
      <c r="G118" s="1191" t="s">
        <v>800</v>
      </c>
      <c r="H118" s="1191"/>
      <c r="I118" s="1191" t="s">
        <v>801</v>
      </c>
      <c r="J118" s="1191"/>
      <c r="K118" s="1191" t="s">
        <v>802</v>
      </c>
      <c r="L118" s="1191"/>
      <c r="M118" s="1191" t="s">
        <v>803</v>
      </c>
      <c r="N118" s="1191"/>
      <c r="O118" s="1191" t="s">
        <v>804</v>
      </c>
      <c r="P118" s="1191"/>
      <c r="Q118" s="1191" t="s">
        <v>805</v>
      </c>
    </row>
    <row r="119" spans="3:19">
      <c r="C119" s="1546" t="s">
        <v>898</v>
      </c>
      <c r="E119" s="1547" t="s">
        <v>829</v>
      </c>
      <c r="G119" s="1549" t="s">
        <v>309</v>
      </c>
      <c r="H119" s="1549"/>
      <c r="I119" s="1549"/>
      <c r="K119" s="1259"/>
      <c r="M119" s="1260" t="s">
        <v>1500</v>
      </c>
      <c r="Q119" s="1260" t="s">
        <v>1592</v>
      </c>
    </row>
    <row r="120" spans="3:19" ht="25">
      <c r="C120" s="1522"/>
      <c r="E120" s="1548"/>
      <c r="G120" s="1550"/>
      <c r="H120" s="1550"/>
      <c r="I120" s="1550"/>
      <c r="J120" s="1261"/>
      <c r="K120" s="1262" t="s">
        <v>810</v>
      </c>
      <c r="M120" s="1337" t="s">
        <v>1152</v>
      </c>
      <c r="O120" s="1337" t="s">
        <v>808</v>
      </c>
      <c r="Q120" s="1337" t="s">
        <v>811</v>
      </c>
    </row>
    <row r="121" spans="3:19" ht="5.15" customHeight="1"/>
    <row r="122" spans="3:19">
      <c r="C122" s="1196">
        <f>C113+1</f>
        <v>53</v>
      </c>
      <c r="E122" s="1253" t="s">
        <v>830</v>
      </c>
      <c r="K122" s="1033">
        <v>0</v>
      </c>
      <c r="L122" s="1032"/>
      <c r="M122" s="1033">
        <v>0</v>
      </c>
      <c r="N122" s="1032"/>
      <c r="O122" s="1033">
        <v>0</v>
      </c>
      <c r="P122" s="1032"/>
      <c r="Q122" s="1033">
        <v>0</v>
      </c>
    </row>
    <row r="123" spans="3:19">
      <c r="C123" s="1196">
        <f>C122+1</f>
        <v>54</v>
      </c>
      <c r="E123" s="1253" t="s">
        <v>831</v>
      </c>
      <c r="K123" s="1255">
        <f>K113</f>
        <v>-159552306.09562606</v>
      </c>
      <c r="M123" s="1255">
        <f>M113</f>
        <v>-97637767.737039968</v>
      </c>
      <c r="O123" s="1255">
        <f>O113</f>
        <v>13403620.184182387</v>
      </c>
      <c r="Q123" s="1255">
        <f>Q113</f>
        <v>-84234147.552857578</v>
      </c>
    </row>
    <row r="124" spans="3:19" ht="5.15" customHeight="1">
      <c r="K124" s="1268"/>
      <c r="M124" s="1268"/>
      <c r="O124" s="1268"/>
      <c r="Q124" s="1268"/>
    </row>
    <row r="125" spans="3:19" ht="13">
      <c r="C125" s="1196">
        <f>C123+1</f>
        <v>55</v>
      </c>
      <c r="E125" s="1189" t="s">
        <v>832</v>
      </c>
      <c r="K125" s="1034">
        <f>SUM(K122:K124)</f>
        <v>-159552306.09562606</v>
      </c>
      <c r="L125" s="1034"/>
      <c r="M125" s="1034">
        <f>SUM(M122:M124)</f>
        <v>-97637767.737039968</v>
      </c>
      <c r="N125" s="1032"/>
      <c r="O125" s="1034">
        <f>SUM(O122:O124)</f>
        <v>13403620.184182387</v>
      </c>
      <c r="P125" s="1032"/>
      <c r="Q125" s="1034">
        <f>SUM(Q122:Q124)</f>
        <v>-84234147.552857578</v>
      </c>
    </row>
    <row r="129" spans="1:17" ht="15.75" customHeight="1">
      <c r="C129" s="1532" t="s">
        <v>833</v>
      </c>
      <c r="D129" s="1532"/>
      <c r="E129" s="1532"/>
      <c r="F129" s="1532"/>
      <c r="G129" s="1532"/>
      <c r="H129" s="1532"/>
      <c r="I129" s="1532"/>
      <c r="J129" s="1532"/>
      <c r="K129" s="1532"/>
      <c r="L129" s="1532"/>
      <c r="M129" s="1532"/>
      <c r="N129" s="1532"/>
      <c r="O129" s="1532"/>
      <c r="P129" s="1532"/>
      <c r="Q129" s="1532"/>
    </row>
    <row r="131" spans="1:17" ht="15.75" customHeight="1">
      <c r="C131" s="1543" t="s">
        <v>834</v>
      </c>
      <c r="D131" s="1544"/>
      <c r="E131" s="1544"/>
      <c r="F131" s="1544"/>
      <c r="G131" s="1544"/>
      <c r="H131" s="1544"/>
      <c r="I131" s="1544"/>
      <c r="J131" s="1544"/>
      <c r="K131" s="1544"/>
      <c r="L131" s="1544"/>
      <c r="M131" s="1544"/>
      <c r="N131" s="1544"/>
      <c r="O131" s="1544"/>
      <c r="P131" s="1544"/>
      <c r="Q131" s="1545"/>
    </row>
    <row r="133" spans="1:17" ht="13">
      <c r="E133" s="1191" t="s">
        <v>799</v>
      </c>
      <c r="F133" s="1191"/>
      <c r="G133" s="1191" t="s">
        <v>800</v>
      </c>
      <c r="H133" s="1191"/>
      <c r="I133" s="1191" t="s">
        <v>801</v>
      </c>
      <c r="J133" s="1191"/>
      <c r="K133" s="1191" t="s">
        <v>802</v>
      </c>
      <c r="L133" s="1191"/>
      <c r="M133" s="1191" t="s">
        <v>803</v>
      </c>
      <c r="N133" s="1191"/>
      <c r="O133" s="1191" t="s">
        <v>804</v>
      </c>
      <c r="P133" s="1191"/>
      <c r="Q133" s="1191" t="s">
        <v>805</v>
      </c>
    </row>
    <row r="134" spans="1:17" ht="15" customHeight="1">
      <c r="C134" s="1535" t="s">
        <v>898</v>
      </c>
      <c r="D134" s="1335"/>
      <c r="E134" s="1537" t="s">
        <v>809</v>
      </c>
      <c r="G134" s="1539" t="s">
        <v>309</v>
      </c>
      <c r="I134" s="1539" t="s">
        <v>806</v>
      </c>
      <c r="K134" s="1259"/>
      <c r="M134" s="1260" t="s">
        <v>1500</v>
      </c>
      <c r="O134" s="1541" t="s">
        <v>808</v>
      </c>
      <c r="Q134" s="1260" t="s">
        <v>1592</v>
      </c>
    </row>
    <row r="135" spans="1:17" ht="25">
      <c r="C135" s="1536"/>
      <c r="D135" s="1335"/>
      <c r="E135" s="1538"/>
      <c r="F135" s="1261"/>
      <c r="G135" s="1540"/>
      <c r="H135" s="1261"/>
      <c r="I135" s="1540"/>
      <c r="J135" s="1261"/>
      <c r="K135" s="1262" t="s">
        <v>810</v>
      </c>
      <c r="M135" s="1337" t="s">
        <v>1152</v>
      </c>
      <c r="O135" s="1542"/>
      <c r="Q135" s="1337" t="s">
        <v>811</v>
      </c>
    </row>
    <row r="136" spans="1:17" ht="5.15" customHeight="1"/>
    <row r="137" spans="1:17" ht="13">
      <c r="A137" s="1263"/>
      <c r="B137" s="1263"/>
      <c r="C137" s="1196">
        <f>C125+1</f>
        <v>56</v>
      </c>
      <c r="D137" s="1263"/>
      <c r="E137" s="1264" t="s">
        <v>812</v>
      </c>
      <c r="F137" s="1263"/>
      <c r="G137" s="1265"/>
      <c r="H137" s="1263"/>
      <c r="I137" s="1265"/>
      <c r="J137" s="1263"/>
      <c r="K137" s="1266"/>
      <c r="M137" s="1034"/>
      <c r="O137" s="1267"/>
      <c r="Q137" s="1263"/>
    </row>
    <row r="138" spans="1:17" ht="5.15" customHeight="1">
      <c r="C138" s="1196"/>
    </row>
    <row r="139" spans="1:17">
      <c r="C139" s="1196">
        <f>C137+1</f>
        <v>57</v>
      </c>
      <c r="E139" s="1253" t="s">
        <v>813</v>
      </c>
      <c r="G139" s="1036"/>
      <c r="I139" s="1265" t="s">
        <v>814</v>
      </c>
      <c r="K139" s="1033">
        <v>0</v>
      </c>
      <c r="L139" s="1032"/>
      <c r="M139" s="1033">
        <v>0</v>
      </c>
      <c r="N139" s="1032"/>
      <c r="O139" s="1033">
        <f>-K139/4</f>
        <v>0</v>
      </c>
      <c r="P139" s="1032"/>
      <c r="Q139" s="1033">
        <f>M139+O139</f>
        <v>0</v>
      </c>
    </row>
    <row r="140" spans="1:17">
      <c r="C140" s="1196">
        <f>C139+1</f>
        <v>58</v>
      </c>
      <c r="E140" s="1253" t="s">
        <v>815</v>
      </c>
      <c r="G140" s="1036"/>
      <c r="I140" s="1265" t="s">
        <v>814</v>
      </c>
      <c r="K140" s="1037">
        <v>0</v>
      </c>
      <c r="L140" s="1038"/>
      <c r="M140" s="1037">
        <v>0</v>
      </c>
      <c r="N140" s="1038"/>
      <c r="O140" s="1037">
        <f>-K140/4</f>
        <v>0</v>
      </c>
      <c r="P140" s="1038"/>
      <c r="Q140" s="1037">
        <f>M140+O140</f>
        <v>0</v>
      </c>
    </row>
    <row r="141" spans="1:17">
      <c r="C141" s="1196">
        <f>C140+1</f>
        <v>59</v>
      </c>
      <c r="E141" s="1253" t="s">
        <v>816</v>
      </c>
      <c r="G141" s="1036"/>
      <c r="I141" s="1265" t="s">
        <v>814</v>
      </c>
      <c r="K141" s="1037">
        <v>0</v>
      </c>
      <c r="L141" s="1038"/>
      <c r="M141" s="1037">
        <v>0</v>
      </c>
      <c r="N141" s="1038"/>
      <c r="O141" s="1037">
        <f>-K141/4</f>
        <v>0</v>
      </c>
      <c r="P141" s="1038"/>
      <c r="Q141" s="1037">
        <f>M141+O141</f>
        <v>0</v>
      </c>
    </row>
    <row r="142" spans="1:17">
      <c r="C142" s="1196">
        <f>C141+1</f>
        <v>60</v>
      </c>
      <c r="E142" s="1253" t="s">
        <v>817</v>
      </c>
      <c r="G142" s="1036"/>
      <c r="I142" s="1265" t="s">
        <v>814</v>
      </c>
      <c r="K142" s="1037">
        <v>0</v>
      </c>
      <c r="L142" s="1038"/>
      <c r="M142" s="1037">
        <v>0</v>
      </c>
      <c r="N142" s="1038"/>
      <c r="O142" s="1037">
        <f>-K142/4</f>
        <v>0</v>
      </c>
      <c r="P142" s="1038"/>
      <c r="Q142" s="1037">
        <f>M142+O142</f>
        <v>0</v>
      </c>
    </row>
    <row r="143" spans="1:17" ht="5.15" customHeight="1">
      <c r="K143" s="1268"/>
      <c r="M143" s="1268"/>
      <c r="O143" s="1268"/>
      <c r="Q143" s="1268"/>
    </row>
    <row r="144" spans="1:17" ht="13">
      <c r="C144" s="1196">
        <f>C142+1</f>
        <v>61</v>
      </c>
      <c r="E144" s="1189" t="s">
        <v>818</v>
      </c>
      <c r="K144" s="1034">
        <f>SUM(K138:K143)</f>
        <v>0</v>
      </c>
      <c r="L144" s="1034"/>
      <c r="M144" s="1034">
        <f>SUM(M138:M143)</f>
        <v>0</v>
      </c>
      <c r="N144" s="1032"/>
      <c r="O144" s="1034">
        <f>SUM(O138:O143)</f>
        <v>0</v>
      </c>
      <c r="P144" s="1034"/>
      <c r="Q144" s="1034">
        <f>SUM(Q138:Q143)</f>
        <v>0</v>
      </c>
    </row>
    <row r="146" spans="1:17" ht="13">
      <c r="A146" s="1263"/>
      <c r="B146" s="1263"/>
      <c r="C146" s="1196">
        <f>C144+1</f>
        <v>62</v>
      </c>
      <c r="D146" s="1263"/>
      <c r="E146" s="1264" t="s">
        <v>819</v>
      </c>
      <c r="F146" s="1263"/>
      <c r="G146" s="1265"/>
      <c r="H146" s="1263"/>
      <c r="I146" s="1265"/>
      <c r="J146" s="1263"/>
      <c r="K146" s="1266"/>
      <c r="M146" s="1034"/>
      <c r="O146" s="1267"/>
      <c r="Q146" s="1263"/>
    </row>
    <row r="147" spans="1:17" ht="5.15" customHeight="1"/>
    <row r="148" spans="1:17">
      <c r="C148" s="1196">
        <f>C146+1</f>
        <v>63</v>
      </c>
      <c r="E148" s="1253" t="s">
        <v>813</v>
      </c>
      <c r="G148" s="1036"/>
      <c r="I148" s="1265" t="s">
        <v>820</v>
      </c>
      <c r="K148" s="1033">
        <v>0</v>
      </c>
      <c r="L148" s="1032"/>
      <c r="M148" s="1033">
        <v>0</v>
      </c>
      <c r="N148" s="1032"/>
      <c r="O148" s="1033">
        <v>0</v>
      </c>
      <c r="P148" s="1032"/>
      <c r="Q148" s="1033">
        <f>M148+O148</f>
        <v>0</v>
      </c>
    </row>
    <row r="149" spans="1:17">
      <c r="C149" s="1196">
        <f>C148+1</f>
        <v>64</v>
      </c>
      <c r="E149" s="1253" t="s">
        <v>815</v>
      </c>
      <c r="G149" s="1036"/>
      <c r="I149" s="1265" t="s">
        <v>820</v>
      </c>
      <c r="K149" s="1037">
        <v>0</v>
      </c>
      <c r="L149" s="1038"/>
      <c r="M149" s="1037">
        <v>0</v>
      </c>
      <c r="N149" s="1038"/>
      <c r="O149" s="1037">
        <v>0</v>
      </c>
      <c r="P149" s="1038"/>
      <c r="Q149" s="1037">
        <f>M149+O149</f>
        <v>0</v>
      </c>
    </row>
    <row r="150" spans="1:17">
      <c r="C150" s="1196">
        <f>C149+1</f>
        <v>65</v>
      </c>
      <c r="E150" s="1253" t="s">
        <v>816</v>
      </c>
      <c r="G150" s="1036"/>
      <c r="I150" s="1265" t="s">
        <v>820</v>
      </c>
      <c r="K150" s="1037">
        <v>0</v>
      </c>
      <c r="L150" s="1038"/>
      <c r="M150" s="1037">
        <v>0</v>
      </c>
      <c r="N150" s="1038"/>
      <c r="O150" s="1037">
        <f>-K150/5</f>
        <v>0</v>
      </c>
      <c r="P150" s="1038"/>
      <c r="Q150" s="1037">
        <f>M150+O150</f>
        <v>0</v>
      </c>
    </row>
    <row r="151" spans="1:17">
      <c r="C151" s="1196">
        <f>C150+1</f>
        <v>66</v>
      </c>
      <c r="E151" s="1253" t="s">
        <v>817</v>
      </c>
      <c r="G151" s="1036"/>
      <c r="I151" s="1265" t="s">
        <v>820</v>
      </c>
      <c r="K151" s="1037">
        <v>0</v>
      </c>
      <c r="L151" s="1038"/>
      <c r="M151" s="1037">
        <v>0</v>
      </c>
      <c r="N151" s="1038"/>
      <c r="O151" s="1037">
        <v>0</v>
      </c>
      <c r="P151" s="1038"/>
      <c r="Q151" s="1037">
        <f>M151+O151</f>
        <v>0</v>
      </c>
    </row>
    <row r="152" spans="1:17" ht="5.15" customHeight="1">
      <c r="K152" s="1268"/>
      <c r="M152" s="1268"/>
      <c r="O152" s="1268"/>
      <c r="Q152" s="1268"/>
    </row>
    <row r="153" spans="1:17" ht="13">
      <c r="C153" s="1196">
        <f>C151+1</f>
        <v>67</v>
      </c>
      <c r="E153" s="1189" t="s">
        <v>818</v>
      </c>
      <c r="K153" s="1034">
        <f>SUM(K147:K152)</f>
        <v>0</v>
      </c>
      <c r="L153" s="1032"/>
      <c r="M153" s="1034">
        <f>SUM(M147:M152)</f>
        <v>0</v>
      </c>
      <c r="N153" s="1034"/>
      <c r="O153" s="1034">
        <f>SUM(O147:O152)</f>
        <v>0</v>
      </c>
      <c r="P153" s="1034"/>
      <c r="Q153" s="1034">
        <f>SUM(Q147:Q152)</f>
        <v>0</v>
      </c>
    </row>
    <row r="155" spans="1:17" ht="13">
      <c r="A155" s="1263"/>
      <c r="B155" s="1263"/>
      <c r="C155" s="1196">
        <f>C153+1</f>
        <v>68</v>
      </c>
      <c r="D155" s="1263"/>
      <c r="E155" s="1264" t="s">
        <v>821</v>
      </c>
      <c r="F155" s="1263"/>
      <c r="G155" s="1265"/>
      <c r="H155" s="1263"/>
      <c r="I155" s="1265"/>
      <c r="J155" s="1263"/>
      <c r="K155" s="1266"/>
      <c r="M155" s="1034"/>
      <c r="O155" s="1267"/>
      <c r="Q155" s="1263"/>
    </row>
    <row r="156" spans="1:17" ht="5.15" customHeight="1"/>
    <row r="157" spans="1:17">
      <c r="C157" s="1196">
        <f>C155+1</f>
        <v>69</v>
      </c>
      <c r="E157" s="1253" t="s">
        <v>813</v>
      </c>
      <c r="G157" s="1036"/>
      <c r="I157" s="1265" t="s">
        <v>835</v>
      </c>
      <c r="K157" s="1033">
        <v>0</v>
      </c>
      <c r="L157" s="1032"/>
      <c r="M157" s="1033">
        <v>0</v>
      </c>
      <c r="N157" s="1032"/>
      <c r="O157" s="1033">
        <v>0</v>
      </c>
      <c r="P157" s="1032"/>
      <c r="Q157" s="1033">
        <f>M157+O157</f>
        <v>0</v>
      </c>
    </row>
    <row r="158" spans="1:17">
      <c r="C158" s="1196">
        <f>C157+1</f>
        <v>70</v>
      </c>
      <c r="E158" s="1253" t="s">
        <v>815</v>
      </c>
      <c r="G158" s="1036"/>
      <c r="I158" s="1265" t="s">
        <v>835</v>
      </c>
      <c r="K158" s="1037">
        <v>0</v>
      </c>
      <c r="L158" s="1038"/>
      <c r="M158" s="1037">
        <v>0</v>
      </c>
      <c r="N158" s="1038"/>
      <c r="O158" s="1037">
        <v>0</v>
      </c>
      <c r="P158" s="1038"/>
      <c r="Q158" s="1037">
        <f>M158+O158</f>
        <v>0</v>
      </c>
    </row>
    <row r="159" spans="1:17">
      <c r="C159" s="1196">
        <f>C158+1</f>
        <v>71</v>
      </c>
      <c r="E159" s="1253" t="s">
        <v>816</v>
      </c>
      <c r="G159" s="1036"/>
      <c r="I159" s="1265" t="s">
        <v>835</v>
      </c>
      <c r="K159" s="1037">
        <v>0</v>
      </c>
      <c r="L159" s="1038"/>
      <c r="M159" s="1037">
        <v>0</v>
      </c>
      <c r="N159" s="1038"/>
      <c r="O159" s="1037">
        <v>0</v>
      </c>
      <c r="P159" s="1038"/>
      <c r="Q159" s="1037">
        <f>M159+O159</f>
        <v>0</v>
      </c>
    </row>
    <row r="160" spans="1:17">
      <c r="C160" s="1196">
        <f>C159+1</f>
        <v>72</v>
      </c>
      <c r="E160" s="1253" t="s">
        <v>817</v>
      </c>
      <c r="G160" s="1036"/>
      <c r="I160" s="1265" t="s">
        <v>835</v>
      </c>
      <c r="K160" s="1037">
        <v>0</v>
      </c>
      <c r="L160" s="1038"/>
      <c r="M160" s="1037">
        <v>0</v>
      </c>
      <c r="N160" s="1038"/>
      <c r="O160" s="1037">
        <v>0</v>
      </c>
      <c r="P160" s="1038"/>
      <c r="Q160" s="1037">
        <f>M160+O160</f>
        <v>0</v>
      </c>
    </row>
    <row r="161" spans="1:20" ht="5.15" customHeight="1">
      <c r="K161" s="1268"/>
      <c r="M161" s="1268"/>
      <c r="O161" s="1268"/>
      <c r="Q161" s="1268"/>
    </row>
    <row r="162" spans="1:20" ht="13">
      <c r="C162" s="1196">
        <f>C160+1</f>
        <v>73</v>
      </c>
      <c r="E162" s="1189" t="s">
        <v>818</v>
      </c>
      <c r="K162" s="1034">
        <f>SUM(K156:K161)</f>
        <v>0</v>
      </c>
      <c r="L162" s="1032"/>
      <c r="M162" s="1034">
        <f>SUM(M156:M161)</f>
        <v>0</v>
      </c>
      <c r="N162" s="1032"/>
      <c r="O162" s="1034">
        <f>SUM(O156:O161)</f>
        <v>0</v>
      </c>
      <c r="P162" s="1034"/>
      <c r="Q162" s="1034">
        <f>SUM(Q156:Q161)</f>
        <v>0</v>
      </c>
    </row>
    <row r="164" spans="1:20" ht="13.5" thickBot="1">
      <c r="C164" s="1196">
        <f>C162+1</f>
        <v>74</v>
      </c>
      <c r="E164" s="1189" t="s">
        <v>823</v>
      </c>
      <c r="K164" s="1041">
        <f>K144+K153+K162</f>
        <v>0</v>
      </c>
      <c r="L164" s="1034"/>
      <c r="M164" s="1041">
        <f>M144+M153+M162</f>
        <v>0</v>
      </c>
      <c r="N164" s="1034"/>
      <c r="O164" s="1041">
        <f>O144+O153+O162</f>
        <v>0</v>
      </c>
      <c r="P164" s="1034"/>
      <c r="Q164" s="1041">
        <f>Q144+Q153+Q162</f>
        <v>0</v>
      </c>
    </row>
    <row r="166" spans="1:20" ht="13">
      <c r="C166" s="1196"/>
      <c r="E166" s="1189"/>
      <c r="L166" s="1034"/>
      <c r="N166" s="1034"/>
      <c r="P166" s="1034"/>
      <c r="T166" s="1269"/>
    </row>
    <row r="167" spans="1:20" ht="15.75" customHeight="1">
      <c r="C167" s="1543" t="s">
        <v>836</v>
      </c>
      <c r="D167" s="1544"/>
      <c r="E167" s="1544"/>
      <c r="F167" s="1544"/>
      <c r="G167" s="1544"/>
      <c r="H167" s="1544"/>
      <c r="I167" s="1544"/>
      <c r="J167" s="1544"/>
      <c r="K167" s="1544"/>
      <c r="L167" s="1544"/>
      <c r="M167" s="1544"/>
      <c r="N167" s="1544"/>
      <c r="O167" s="1544"/>
      <c r="P167" s="1544"/>
      <c r="Q167" s="1545"/>
    </row>
    <row r="169" spans="1:20" ht="13">
      <c r="E169" s="1191" t="s">
        <v>799</v>
      </c>
      <c r="F169" s="1191"/>
      <c r="G169" s="1191" t="s">
        <v>800</v>
      </c>
      <c r="H169" s="1191"/>
      <c r="I169" s="1191" t="s">
        <v>801</v>
      </c>
      <c r="J169" s="1191"/>
      <c r="K169" s="1191" t="s">
        <v>802</v>
      </c>
      <c r="L169" s="1191"/>
      <c r="M169" s="1191" t="s">
        <v>803</v>
      </c>
      <c r="N169" s="1191"/>
      <c r="O169" s="1191" t="s">
        <v>804</v>
      </c>
      <c r="P169" s="1191"/>
      <c r="Q169" s="1191" t="s">
        <v>805</v>
      </c>
    </row>
    <row r="170" spans="1:20" ht="15" customHeight="1">
      <c r="C170" s="1535" t="s">
        <v>898</v>
      </c>
      <c r="D170" s="1335"/>
      <c r="E170" s="1537" t="s">
        <v>809</v>
      </c>
      <c r="G170" s="1539" t="s">
        <v>309</v>
      </c>
      <c r="I170" s="1539" t="s">
        <v>806</v>
      </c>
      <c r="K170" s="1259"/>
      <c r="M170" s="1260" t="s">
        <v>1500</v>
      </c>
      <c r="O170" s="1541" t="s">
        <v>808</v>
      </c>
      <c r="Q170" s="1260" t="s">
        <v>1592</v>
      </c>
    </row>
    <row r="171" spans="1:20" ht="25">
      <c r="C171" s="1536"/>
      <c r="D171" s="1335"/>
      <c r="E171" s="1538"/>
      <c r="F171" s="1261"/>
      <c r="G171" s="1540"/>
      <c r="H171" s="1261"/>
      <c r="I171" s="1540"/>
      <c r="J171" s="1261"/>
      <c r="K171" s="1262" t="s">
        <v>810</v>
      </c>
      <c r="M171" s="1337" t="s">
        <v>1152</v>
      </c>
      <c r="O171" s="1542"/>
      <c r="Q171" s="1337" t="s">
        <v>811</v>
      </c>
    </row>
    <row r="172" spans="1:20" ht="5.15" customHeight="1"/>
    <row r="173" spans="1:20" ht="13">
      <c r="A173" s="1263"/>
      <c r="B173" s="1263"/>
      <c r="C173" s="1196">
        <f>C164+1</f>
        <v>75</v>
      </c>
      <c r="D173" s="1263"/>
      <c r="E173" s="1264" t="s">
        <v>812</v>
      </c>
      <c r="F173" s="1263"/>
      <c r="G173" s="1265"/>
      <c r="H173" s="1263"/>
      <c r="I173" s="1265"/>
      <c r="J173" s="1263"/>
      <c r="K173" s="1266"/>
      <c r="M173" s="1034"/>
      <c r="O173" s="1267"/>
      <c r="Q173" s="1263"/>
    </row>
    <row r="174" spans="1:20" ht="5.15" customHeight="1"/>
    <row r="175" spans="1:20">
      <c r="C175" s="1196">
        <f>C173+1</f>
        <v>76</v>
      </c>
      <c r="E175" s="1253" t="s">
        <v>813</v>
      </c>
      <c r="G175" s="1036"/>
      <c r="I175" s="1265"/>
      <c r="K175" s="1033">
        <f>K139</f>
        <v>0</v>
      </c>
      <c r="L175" s="1032"/>
      <c r="M175" s="1033">
        <f>M139</f>
        <v>0</v>
      </c>
      <c r="N175" s="1032"/>
      <c r="O175" s="1033">
        <f>O139</f>
        <v>0</v>
      </c>
      <c r="P175" s="1032"/>
      <c r="Q175" s="1033">
        <f>M175+O175</f>
        <v>0</v>
      </c>
      <c r="T175" s="1215"/>
    </row>
    <row r="176" spans="1:20">
      <c r="C176" s="1196">
        <f>C175+1</f>
        <v>77</v>
      </c>
      <c r="E176" s="1253" t="s">
        <v>815</v>
      </c>
      <c r="G176" s="1036"/>
      <c r="I176" s="1265"/>
      <c r="K176" s="1037">
        <f t="shared" ref="K176:M178" si="0">K140</f>
        <v>0</v>
      </c>
      <c r="M176" s="1037">
        <f t="shared" si="0"/>
        <v>0</v>
      </c>
      <c r="O176" s="1037">
        <f t="shared" ref="O176:O178" si="1">O140</f>
        <v>0</v>
      </c>
      <c r="Q176" s="1255">
        <f>M176+O176</f>
        <v>0</v>
      </c>
    </row>
    <row r="177" spans="1:20">
      <c r="C177" s="1196">
        <f>C176+1</f>
        <v>78</v>
      </c>
      <c r="E177" s="1253" t="s">
        <v>816</v>
      </c>
      <c r="G177" s="1036"/>
      <c r="I177" s="1265"/>
      <c r="K177" s="1037">
        <f t="shared" si="0"/>
        <v>0</v>
      </c>
      <c r="M177" s="1037">
        <f t="shared" si="0"/>
        <v>0</v>
      </c>
      <c r="O177" s="1037">
        <f t="shared" si="1"/>
        <v>0</v>
      </c>
      <c r="Q177" s="1255">
        <f>M177+O177</f>
        <v>0</v>
      </c>
    </row>
    <row r="178" spans="1:20">
      <c r="C178" s="1196">
        <f>C177+1</f>
        <v>79</v>
      </c>
      <c r="E178" s="1253" t="s">
        <v>817</v>
      </c>
      <c r="G178" s="1036"/>
      <c r="I178" s="1265"/>
      <c r="K178" s="1037">
        <f t="shared" si="0"/>
        <v>0</v>
      </c>
      <c r="M178" s="1037">
        <f t="shared" si="0"/>
        <v>0</v>
      </c>
      <c r="O178" s="1037">
        <f t="shared" si="1"/>
        <v>0</v>
      </c>
      <c r="Q178" s="1255">
        <f>M178+O178</f>
        <v>0</v>
      </c>
      <c r="T178" s="1215"/>
    </row>
    <row r="179" spans="1:20" ht="5.15" customHeight="1">
      <c r="K179" s="1268"/>
      <c r="M179" s="1268"/>
      <c r="O179" s="1268"/>
      <c r="Q179" s="1268"/>
    </row>
    <row r="180" spans="1:20" ht="13">
      <c r="C180" s="1196">
        <f>C178+1</f>
        <v>80</v>
      </c>
      <c r="E180" s="1189" t="s">
        <v>818</v>
      </c>
      <c r="K180" s="1034">
        <f>SUM(K174:K179)</f>
        <v>0</v>
      </c>
      <c r="L180" s="1034"/>
      <c r="M180" s="1034">
        <f>SUM(M174:M179)</f>
        <v>0</v>
      </c>
      <c r="N180" s="1032"/>
      <c r="O180" s="1034">
        <f>SUM(O174:O179)</f>
        <v>0</v>
      </c>
      <c r="P180" s="1034"/>
      <c r="Q180" s="1034">
        <f>SUM(Q174:Q179)</f>
        <v>0</v>
      </c>
    </row>
    <row r="181" spans="1:20">
      <c r="C181" s="1196"/>
    </row>
    <row r="182" spans="1:20" ht="13">
      <c r="A182" s="1263"/>
      <c r="B182" s="1263"/>
      <c r="C182" s="1196">
        <f>C180+1</f>
        <v>81</v>
      </c>
      <c r="D182" s="1263"/>
      <c r="E182" s="1264" t="s">
        <v>819</v>
      </c>
      <c r="F182" s="1263"/>
      <c r="G182" s="1265"/>
      <c r="H182" s="1263"/>
      <c r="I182" s="1265"/>
      <c r="J182" s="1263"/>
      <c r="K182" s="1266"/>
      <c r="M182" s="1034"/>
      <c r="O182" s="1267"/>
      <c r="Q182" s="1263"/>
    </row>
    <row r="183" spans="1:20" ht="5.15" customHeight="1"/>
    <row r="184" spans="1:20">
      <c r="C184" s="1196">
        <f>C182+1</f>
        <v>82</v>
      </c>
      <c r="E184" s="1253" t="s">
        <v>813</v>
      </c>
      <c r="G184" s="1036"/>
      <c r="I184" s="1265"/>
      <c r="K184" s="1033">
        <f>K148</f>
        <v>0</v>
      </c>
      <c r="L184" s="1032"/>
      <c r="M184" s="1033">
        <f>M148</f>
        <v>0</v>
      </c>
      <c r="N184" s="1032"/>
      <c r="O184" s="1033">
        <f>O148</f>
        <v>0</v>
      </c>
      <c r="P184" s="1032"/>
      <c r="Q184" s="1033">
        <f>M184+O184</f>
        <v>0</v>
      </c>
    </row>
    <row r="185" spans="1:20">
      <c r="C185" s="1196">
        <f>C184+1</f>
        <v>83</v>
      </c>
      <c r="E185" s="1253" t="s">
        <v>815</v>
      </c>
      <c r="G185" s="1036"/>
      <c r="I185" s="1265"/>
      <c r="K185" s="1037">
        <f>K149</f>
        <v>0</v>
      </c>
      <c r="M185" s="1037">
        <f t="shared" ref="M185:M187" si="2">M149</f>
        <v>0</v>
      </c>
      <c r="O185" s="1037">
        <f t="shared" ref="O185:O187" si="3">O149</f>
        <v>0</v>
      </c>
      <c r="Q185" s="1255">
        <f>M185+O185</f>
        <v>0</v>
      </c>
    </row>
    <row r="186" spans="1:20">
      <c r="C186" s="1196">
        <f>C185+1</f>
        <v>84</v>
      </c>
      <c r="E186" s="1253" t="s">
        <v>816</v>
      </c>
      <c r="G186" s="1036"/>
      <c r="I186" s="1265"/>
      <c r="K186" s="1037">
        <f t="shared" ref="K186:K187" si="4">K150</f>
        <v>0</v>
      </c>
      <c r="M186" s="1037">
        <f t="shared" si="2"/>
        <v>0</v>
      </c>
      <c r="O186" s="1037">
        <f t="shared" si="3"/>
        <v>0</v>
      </c>
      <c r="Q186" s="1255">
        <f>M186+O186</f>
        <v>0</v>
      </c>
      <c r="T186" s="1215"/>
    </row>
    <row r="187" spans="1:20">
      <c r="C187" s="1196">
        <f>C186+1</f>
        <v>85</v>
      </c>
      <c r="E187" s="1253" t="s">
        <v>817</v>
      </c>
      <c r="G187" s="1036"/>
      <c r="I187" s="1265"/>
      <c r="K187" s="1037">
        <f t="shared" si="4"/>
        <v>0</v>
      </c>
      <c r="M187" s="1037">
        <f t="shared" si="2"/>
        <v>0</v>
      </c>
      <c r="O187" s="1037">
        <f t="shared" si="3"/>
        <v>0</v>
      </c>
      <c r="Q187" s="1255">
        <f>M187+O187</f>
        <v>0</v>
      </c>
    </row>
    <row r="188" spans="1:20" ht="5.15" customHeight="1">
      <c r="K188" s="1268"/>
      <c r="M188" s="1268"/>
      <c r="O188" s="1268"/>
      <c r="Q188" s="1268"/>
    </row>
    <row r="189" spans="1:20" ht="13">
      <c r="C189" s="1196">
        <f>C187+1</f>
        <v>86</v>
      </c>
      <c r="E189" s="1189" t="s">
        <v>818</v>
      </c>
      <c r="K189" s="1034">
        <f>SUM(K183:K188)</f>
        <v>0</v>
      </c>
      <c r="L189" s="1032"/>
      <c r="M189" s="1034">
        <f>SUM(M183:M188)</f>
        <v>0</v>
      </c>
      <c r="N189" s="1034"/>
      <c r="O189" s="1034">
        <f>SUM(O183:O188)</f>
        <v>0</v>
      </c>
      <c r="P189" s="1034"/>
      <c r="Q189" s="1034">
        <f>SUM(Q183:Q188)</f>
        <v>0</v>
      </c>
    </row>
    <row r="191" spans="1:20" ht="13">
      <c r="A191" s="1263"/>
      <c r="B191" s="1263"/>
      <c r="C191" s="1196">
        <f>C189+1</f>
        <v>87</v>
      </c>
      <c r="D191" s="1263"/>
      <c r="E191" s="1264" t="s">
        <v>821</v>
      </c>
      <c r="F191" s="1263"/>
      <c r="G191" s="1265"/>
      <c r="H191" s="1263"/>
      <c r="I191" s="1265"/>
      <c r="J191" s="1263"/>
      <c r="K191" s="1266"/>
      <c r="M191" s="1034"/>
      <c r="O191" s="1267"/>
      <c r="Q191" s="1263"/>
    </row>
    <row r="192" spans="1:20" ht="5.15" customHeight="1"/>
    <row r="193" spans="3:20">
      <c r="C193" s="1196">
        <f>C191+1</f>
        <v>88</v>
      </c>
      <c r="E193" s="1253" t="s">
        <v>813</v>
      </c>
      <c r="G193" s="1036"/>
      <c r="I193" s="1265"/>
      <c r="K193" s="1033">
        <f>K157</f>
        <v>0</v>
      </c>
      <c r="L193" s="1032"/>
      <c r="M193" s="1033">
        <f>M157</f>
        <v>0</v>
      </c>
      <c r="N193" s="1032"/>
      <c r="O193" s="1033">
        <f>O157</f>
        <v>0</v>
      </c>
      <c r="P193" s="1032"/>
      <c r="Q193" s="1033">
        <f>M193+O193</f>
        <v>0</v>
      </c>
    </row>
    <row r="194" spans="3:20">
      <c r="C194" s="1196">
        <f>C193+1</f>
        <v>89</v>
      </c>
      <c r="E194" s="1253" t="s">
        <v>815</v>
      </c>
      <c r="G194" s="1036"/>
      <c r="I194" s="1265"/>
      <c r="K194" s="1037">
        <f>K158</f>
        <v>0</v>
      </c>
      <c r="M194" s="1037">
        <f t="shared" ref="M194:M196" si="5">M158</f>
        <v>0</v>
      </c>
      <c r="O194" s="1037">
        <f t="shared" ref="O194:O196" si="6">O158</f>
        <v>0</v>
      </c>
      <c r="Q194" s="1255">
        <f>M194+O194</f>
        <v>0</v>
      </c>
    </row>
    <row r="195" spans="3:20">
      <c r="C195" s="1196">
        <f>C194+1</f>
        <v>90</v>
      </c>
      <c r="E195" s="1253" t="s">
        <v>816</v>
      </c>
      <c r="G195" s="1036"/>
      <c r="I195" s="1265"/>
      <c r="K195" s="1037">
        <f t="shared" ref="K195:K196" si="7">K159</f>
        <v>0</v>
      </c>
      <c r="M195" s="1037">
        <f t="shared" si="5"/>
        <v>0</v>
      </c>
      <c r="O195" s="1037">
        <f t="shared" si="6"/>
        <v>0</v>
      </c>
      <c r="Q195" s="1255">
        <f>M195+O195</f>
        <v>0</v>
      </c>
    </row>
    <row r="196" spans="3:20">
      <c r="C196" s="1196">
        <f>C195+1</f>
        <v>91</v>
      </c>
      <c r="E196" s="1253" t="s">
        <v>817</v>
      </c>
      <c r="G196" s="1036"/>
      <c r="I196" s="1265"/>
      <c r="K196" s="1037">
        <f t="shared" si="7"/>
        <v>0</v>
      </c>
      <c r="M196" s="1037">
        <f t="shared" si="5"/>
        <v>0</v>
      </c>
      <c r="O196" s="1037">
        <f t="shared" si="6"/>
        <v>0</v>
      </c>
      <c r="Q196" s="1255">
        <f>M196+O196</f>
        <v>0</v>
      </c>
    </row>
    <row r="197" spans="3:20" ht="5.15" customHeight="1">
      <c r="K197" s="1268"/>
      <c r="M197" s="1268"/>
      <c r="O197" s="1268"/>
      <c r="Q197" s="1268"/>
    </row>
    <row r="198" spans="3:20" ht="13">
      <c r="C198" s="1196">
        <f>C196+1</f>
        <v>92</v>
      </c>
      <c r="E198" s="1189" t="s">
        <v>818</v>
      </c>
      <c r="K198" s="1034">
        <f>SUM(K192:K197)</f>
        <v>0</v>
      </c>
      <c r="L198" s="1032"/>
      <c r="M198" s="1034">
        <f>SUM(M192:M197)</f>
        <v>0</v>
      </c>
      <c r="N198" s="1032"/>
      <c r="O198" s="1034">
        <f>SUM(O192:O197)</f>
        <v>0</v>
      </c>
      <c r="P198" s="1034"/>
      <c r="Q198" s="1034">
        <f>SUM(Q192:Q197)</f>
        <v>0</v>
      </c>
      <c r="T198" s="1215"/>
    </row>
    <row r="200" spans="3:20" ht="13.5" thickBot="1">
      <c r="C200" s="1196">
        <f>C198+1</f>
        <v>93</v>
      </c>
      <c r="E200" s="1189" t="s">
        <v>823</v>
      </c>
      <c r="K200" s="1041">
        <f>K180+K189+K198</f>
        <v>0</v>
      </c>
      <c r="L200" s="1034"/>
      <c r="M200" s="1041">
        <f>M180+M189+M198</f>
        <v>0</v>
      </c>
      <c r="N200" s="1034"/>
      <c r="O200" s="1041">
        <f>O180+O189+O198</f>
        <v>0</v>
      </c>
      <c r="P200" s="1034"/>
      <c r="Q200" s="1041">
        <f>Q180+Q189+Q198</f>
        <v>0</v>
      </c>
      <c r="T200" s="1269"/>
    </row>
    <row r="201" spans="3:20" ht="13">
      <c r="C201" s="1196"/>
      <c r="E201" s="1189"/>
      <c r="K201" s="1042"/>
      <c r="L201" s="1034"/>
      <c r="M201" s="1042"/>
      <c r="N201" s="1034"/>
      <c r="O201" s="1042"/>
      <c r="P201" s="1034"/>
      <c r="Q201" s="1042"/>
      <c r="T201" s="1269"/>
    </row>
    <row r="202" spans="3:20" ht="13">
      <c r="C202" s="1196"/>
      <c r="E202" s="1189"/>
      <c r="L202" s="1034"/>
      <c r="N202" s="1034"/>
      <c r="P202" s="1034"/>
      <c r="T202" s="1269"/>
    </row>
    <row r="203" spans="3:20" ht="15.5">
      <c r="E203" s="1543" t="s">
        <v>836</v>
      </c>
      <c r="F203" s="1544"/>
      <c r="G203" s="1544"/>
      <c r="H203" s="1544"/>
      <c r="I203" s="1544"/>
      <c r="J203" s="1544"/>
      <c r="K203" s="1544"/>
      <c r="L203" s="1544"/>
      <c r="M203" s="1544"/>
      <c r="N203" s="1544"/>
      <c r="O203" s="1544"/>
      <c r="P203" s="1544"/>
      <c r="Q203" s="1545"/>
    </row>
    <row r="205" spans="3:20" ht="13">
      <c r="E205" s="1191" t="s">
        <v>799</v>
      </c>
      <c r="F205" s="1191"/>
      <c r="G205" s="1191" t="s">
        <v>800</v>
      </c>
      <c r="H205" s="1191"/>
      <c r="I205" s="1191" t="s">
        <v>801</v>
      </c>
      <c r="J205" s="1191"/>
      <c r="K205" s="1191" t="s">
        <v>802</v>
      </c>
      <c r="L205" s="1191"/>
      <c r="M205" s="1191" t="s">
        <v>803</v>
      </c>
      <c r="N205" s="1191"/>
      <c r="O205" s="1191" t="s">
        <v>804</v>
      </c>
      <c r="P205" s="1191"/>
      <c r="Q205" s="1191" t="s">
        <v>805</v>
      </c>
    </row>
    <row r="206" spans="3:20" ht="15" customHeight="1">
      <c r="C206" s="1535" t="s">
        <v>898</v>
      </c>
      <c r="D206" s="1335"/>
      <c r="E206" s="1537" t="s">
        <v>809</v>
      </c>
      <c r="G206" s="1539" t="s">
        <v>309</v>
      </c>
      <c r="I206" s="1539" t="s">
        <v>806</v>
      </c>
      <c r="M206" s="1260" t="s">
        <v>1500</v>
      </c>
      <c r="O206" s="1541" t="s">
        <v>808</v>
      </c>
      <c r="Q206" s="1260" t="s">
        <v>1592</v>
      </c>
    </row>
    <row r="207" spans="3:20" ht="25">
      <c r="C207" s="1536"/>
      <c r="D207" s="1335"/>
      <c r="E207" s="1538"/>
      <c r="F207" s="1261"/>
      <c r="G207" s="1540"/>
      <c r="H207" s="1261"/>
      <c r="I207" s="1540"/>
      <c r="J207" s="1261"/>
      <c r="K207" s="1262" t="s">
        <v>810</v>
      </c>
      <c r="M207" s="1337" t="s">
        <v>1152</v>
      </c>
      <c r="O207" s="1542"/>
      <c r="Q207" s="1337" t="s">
        <v>811</v>
      </c>
    </row>
    <row r="208" spans="3:20" ht="5.15" customHeight="1"/>
    <row r="209" spans="3:17">
      <c r="C209" s="1196">
        <f>C164+1</f>
        <v>75</v>
      </c>
      <c r="E209" s="1253" t="s">
        <v>813</v>
      </c>
      <c r="K209" s="1033">
        <f>K139+K148+K157</f>
        <v>0</v>
      </c>
      <c r="L209" s="1032"/>
      <c r="M209" s="1033">
        <f>M139+M148+M157</f>
        <v>0</v>
      </c>
      <c r="N209" s="1032"/>
      <c r="O209" s="1033">
        <f>O139+O148+O157</f>
        <v>0</v>
      </c>
      <c r="P209" s="1032"/>
      <c r="Q209" s="1033">
        <f t="shared" ref="Q209:Q212" si="8">M209+O209</f>
        <v>0</v>
      </c>
    </row>
    <row r="210" spans="3:17">
      <c r="C210" s="1196">
        <f>C209+1</f>
        <v>76</v>
      </c>
      <c r="E210" s="1253" t="s">
        <v>815</v>
      </c>
      <c r="K210" s="1037">
        <f>K140+K149+K158</f>
        <v>0</v>
      </c>
      <c r="L210" s="1038"/>
      <c r="M210" s="1037">
        <f>M140+M149+M158</f>
        <v>0</v>
      </c>
      <c r="N210" s="1038"/>
      <c r="O210" s="1037">
        <f>O140+O149+O158</f>
        <v>0</v>
      </c>
      <c r="P210" s="1038"/>
      <c r="Q210" s="1037">
        <f t="shared" si="8"/>
        <v>0</v>
      </c>
    </row>
    <row r="211" spans="3:17">
      <c r="C211" s="1196">
        <f>C210+1</f>
        <v>77</v>
      </c>
      <c r="E211" s="1253" t="s">
        <v>816</v>
      </c>
      <c r="K211" s="1037">
        <f>K141+K150+K159</f>
        <v>0</v>
      </c>
      <c r="L211" s="1038"/>
      <c r="M211" s="1037">
        <f>M141+M150+M159</f>
        <v>0</v>
      </c>
      <c r="N211" s="1038"/>
      <c r="O211" s="1037">
        <f>O141+O150+O159</f>
        <v>0</v>
      </c>
      <c r="P211" s="1038"/>
      <c r="Q211" s="1037">
        <f t="shared" si="8"/>
        <v>0</v>
      </c>
    </row>
    <row r="212" spans="3:17">
      <c r="C212" s="1196">
        <f>C211+1</f>
        <v>78</v>
      </c>
      <c r="E212" s="1253" t="s">
        <v>817</v>
      </c>
      <c r="K212" s="1037">
        <f>K142+K151+K160</f>
        <v>0</v>
      </c>
      <c r="L212" s="1038"/>
      <c r="M212" s="1037">
        <f>M142+M151+M160</f>
        <v>0</v>
      </c>
      <c r="N212" s="1038"/>
      <c r="O212" s="1037">
        <f>O142+O151+O160</f>
        <v>0</v>
      </c>
      <c r="P212" s="1038"/>
      <c r="Q212" s="1037">
        <f t="shared" si="8"/>
        <v>0</v>
      </c>
    </row>
    <row r="213" spans="3:17" ht="5.15" customHeight="1">
      <c r="Q213" s="1268"/>
    </row>
    <row r="214" spans="3:17" ht="13">
      <c r="C214" s="1196">
        <f>C212+1</f>
        <v>79</v>
      </c>
      <c r="E214" s="1189" t="s">
        <v>823</v>
      </c>
      <c r="K214" s="1043">
        <f>SUM(K209:K213)</f>
        <v>0</v>
      </c>
      <c r="L214" s="1034"/>
      <c r="M214" s="1043">
        <f>SUM(M209:M213)</f>
        <v>0</v>
      </c>
      <c r="N214" s="1034"/>
      <c r="O214" s="1043">
        <f>SUM(O209:O213)</f>
        <v>0</v>
      </c>
      <c r="P214" s="1034"/>
      <c r="Q214" s="1043">
        <f>SUM(Q209:Q213)</f>
        <v>0</v>
      </c>
    </row>
    <row r="215" spans="3:17" ht="5.15" customHeight="1"/>
    <row r="216" spans="3:17">
      <c r="C216" s="1196">
        <f>C214+1</f>
        <v>80</v>
      </c>
      <c r="E216" s="1253" t="s">
        <v>953</v>
      </c>
      <c r="G216" s="1190" t="s">
        <v>1319</v>
      </c>
      <c r="K216" s="1039">
        <v>1.3796433621908735</v>
      </c>
      <c r="M216" s="1039">
        <v>1.3796433621908735</v>
      </c>
      <c r="O216" s="1039">
        <v>1.3796433621908735</v>
      </c>
      <c r="Q216" s="1039">
        <v>1.3796433621908735</v>
      </c>
    </row>
    <row r="217" spans="3:17" ht="5.15" customHeight="1"/>
    <row r="218" spans="3:17" ht="13.5" thickBot="1">
      <c r="C218" s="1196">
        <f>C216+1</f>
        <v>81</v>
      </c>
      <c r="E218" s="1189" t="s">
        <v>827</v>
      </c>
      <c r="K218" s="1044">
        <f>K214*K216</f>
        <v>0</v>
      </c>
      <c r="L218" s="1034"/>
      <c r="M218" s="1044">
        <f>M214*M216</f>
        <v>0</v>
      </c>
      <c r="N218" s="1034"/>
      <c r="O218" s="1044">
        <f>O214*O216</f>
        <v>0</v>
      </c>
      <c r="P218" s="1034"/>
      <c r="Q218" s="1044">
        <f>Q214*Q216</f>
        <v>0</v>
      </c>
    </row>
    <row r="219" spans="3:17" ht="13" thickTop="1"/>
    <row r="221" spans="3:17" ht="15.5">
      <c r="E221" s="1543" t="s">
        <v>837</v>
      </c>
      <c r="F221" s="1544"/>
      <c r="G221" s="1544"/>
      <c r="H221" s="1544"/>
      <c r="I221" s="1544"/>
      <c r="J221" s="1544"/>
      <c r="K221" s="1544"/>
      <c r="L221" s="1544"/>
      <c r="M221" s="1544"/>
      <c r="N221" s="1544"/>
      <c r="O221" s="1544"/>
      <c r="P221" s="1544"/>
      <c r="Q221" s="1545"/>
    </row>
    <row r="223" spans="3:17" ht="13">
      <c r="E223" s="1191" t="s">
        <v>799</v>
      </c>
      <c r="F223" s="1191"/>
      <c r="G223" s="1191" t="s">
        <v>800</v>
      </c>
      <c r="H223" s="1191"/>
      <c r="I223" s="1191" t="s">
        <v>801</v>
      </c>
      <c r="J223" s="1191"/>
      <c r="K223" s="1191" t="s">
        <v>802</v>
      </c>
      <c r="L223" s="1191"/>
      <c r="M223" s="1191" t="s">
        <v>803</v>
      </c>
      <c r="N223" s="1191"/>
      <c r="O223" s="1191" t="s">
        <v>804</v>
      </c>
      <c r="P223" s="1191"/>
      <c r="Q223" s="1191" t="s">
        <v>805</v>
      </c>
    </row>
    <row r="224" spans="3:17">
      <c r="C224" s="1546" t="s">
        <v>898</v>
      </c>
      <c r="E224" s="1547" t="s">
        <v>829</v>
      </c>
      <c r="G224" s="1549" t="s">
        <v>309</v>
      </c>
      <c r="H224" s="1549"/>
      <c r="I224" s="1549"/>
      <c r="K224" s="1259"/>
      <c r="M224" s="1260" t="s">
        <v>1500</v>
      </c>
      <c r="Q224" s="1260" t="s">
        <v>1592</v>
      </c>
    </row>
    <row r="225" spans="3:17" ht="25">
      <c r="C225" s="1522"/>
      <c r="E225" s="1548"/>
      <c r="G225" s="1550"/>
      <c r="H225" s="1550"/>
      <c r="I225" s="1550"/>
      <c r="J225" s="1261"/>
      <c r="K225" s="1262" t="s">
        <v>810</v>
      </c>
      <c r="M225" s="1337" t="s">
        <v>1152</v>
      </c>
      <c r="O225" s="1337" t="s">
        <v>808</v>
      </c>
      <c r="Q225" s="1337" t="s">
        <v>811</v>
      </c>
    </row>
    <row r="226" spans="3:17" ht="5.15" customHeight="1"/>
    <row r="227" spans="3:17">
      <c r="C227" s="1196">
        <f>C218+1</f>
        <v>82</v>
      </c>
      <c r="E227" s="1253" t="s">
        <v>830</v>
      </c>
      <c r="K227" s="1033">
        <v>0</v>
      </c>
      <c r="L227" s="1032"/>
      <c r="M227" s="1033">
        <v>0</v>
      </c>
      <c r="N227" s="1032"/>
      <c r="O227" s="1033">
        <v>0</v>
      </c>
      <c r="P227" s="1032"/>
      <c r="Q227" s="1033">
        <v>0</v>
      </c>
    </row>
    <row r="228" spans="3:17">
      <c r="C228" s="1196">
        <f>C227+1</f>
        <v>83</v>
      </c>
      <c r="E228" s="1253" t="s">
        <v>831</v>
      </c>
      <c r="K228" s="1255">
        <f>K218</f>
        <v>0</v>
      </c>
      <c r="M228" s="1255">
        <f>M218</f>
        <v>0</v>
      </c>
      <c r="O228" s="1255">
        <f>O218</f>
        <v>0</v>
      </c>
      <c r="Q228" s="1255">
        <f>Q218</f>
        <v>0</v>
      </c>
    </row>
    <row r="229" spans="3:17" ht="5.15" customHeight="1">
      <c r="K229" s="1268"/>
      <c r="M229" s="1268"/>
      <c r="O229" s="1268"/>
      <c r="Q229" s="1268"/>
    </row>
    <row r="230" spans="3:17" ht="13">
      <c r="C230" s="1196">
        <f>C228+1</f>
        <v>84</v>
      </c>
      <c r="E230" s="1189" t="s">
        <v>832</v>
      </c>
      <c r="K230" s="1034">
        <f>SUM(K227:K229)</f>
        <v>0</v>
      </c>
      <c r="L230" s="1034"/>
      <c r="M230" s="1034">
        <f>SUM(M227:M229)</f>
        <v>0</v>
      </c>
      <c r="N230" s="1032"/>
      <c r="O230" s="1034">
        <f>SUM(O227:O229)</f>
        <v>0</v>
      </c>
      <c r="P230" s="1032"/>
      <c r="Q230" s="1034">
        <f>SUM(Q227:Q229)</f>
        <v>0</v>
      </c>
    </row>
    <row r="231" spans="3:17">
      <c r="K231" s="1269"/>
    </row>
    <row r="233" spans="3:17" ht="15.5">
      <c r="E233" s="1532" t="s">
        <v>838</v>
      </c>
      <c r="F233" s="1532"/>
      <c r="G233" s="1532"/>
      <c r="H233" s="1532"/>
      <c r="I233" s="1532"/>
      <c r="J233" s="1532"/>
      <c r="K233" s="1532"/>
      <c r="L233" s="1532"/>
      <c r="M233" s="1532"/>
      <c r="N233" s="1532"/>
      <c r="O233" s="1532"/>
      <c r="P233" s="1532"/>
      <c r="Q233" s="1532"/>
    </row>
    <row r="235" spans="3:17" ht="15.5">
      <c r="E235" s="1543" t="s">
        <v>1153</v>
      </c>
      <c r="F235" s="1544"/>
      <c r="G235" s="1544"/>
      <c r="H235" s="1544"/>
      <c r="I235" s="1544"/>
      <c r="J235" s="1544"/>
      <c r="K235" s="1544"/>
      <c r="L235" s="1544"/>
      <c r="M235" s="1544"/>
      <c r="N235" s="1544"/>
      <c r="O235" s="1544"/>
      <c r="P235" s="1544"/>
      <c r="Q235" s="1545"/>
    </row>
    <row r="237" spans="3:17" ht="13">
      <c r="E237" s="1191" t="s">
        <v>799</v>
      </c>
      <c r="F237" s="1191"/>
      <c r="G237" s="1191" t="s">
        <v>800</v>
      </c>
      <c r="H237" s="1191"/>
      <c r="I237" s="1191" t="s">
        <v>801</v>
      </c>
      <c r="J237" s="1191"/>
      <c r="K237" s="1191" t="s">
        <v>802</v>
      </c>
      <c r="L237" s="1191"/>
      <c r="M237" s="1191" t="s">
        <v>803</v>
      </c>
      <c r="N237" s="1191"/>
      <c r="O237" s="1191" t="s">
        <v>804</v>
      </c>
      <c r="P237" s="1191"/>
      <c r="Q237" s="1191" t="s">
        <v>805</v>
      </c>
    </row>
    <row r="238" spans="3:17">
      <c r="C238" s="1546" t="s">
        <v>898</v>
      </c>
      <c r="E238" s="1547" t="s">
        <v>829</v>
      </c>
      <c r="G238" s="1549" t="s">
        <v>309</v>
      </c>
      <c r="H238" s="1549"/>
      <c r="I238" s="1549"/>
      <c r="K238" s="1259"/>
      <c r="M238" s="1260" t="s">
        <v>1500</v>
      </c>
      <c r="Q238" s="1260" t="s">
        <v>1592</v>
      </c>
    </row>
    <row r="239" spans="3:17" ht="25">
      <c r="C239" s="1522"/>
      <c r="E239" s="1548"/>
      <c r="G239" s="1550"/>
      <c r="H239" s="1550"/>
      <c r="I239" s="1550"/>
      <c r="J239" s="1261"/>
      <c r="K239" s="1262" t="s">
        <v>810</v>
      </c>
      <c r="M239" s="1337" t="s">
        <v>1152</v>
      </c>
      <c r="O239" s="1337" t="s">
        <v>808</v>
      </c>
      <c r="Q239" s="1337" t="s">
        <v>811</v>
      </c>
    </row>
    <row r="240" spans="3:17" ht="5.15" customHeight="1"/>
    <row r="241" spans="1:19">
      <c r="C241" s="1196">
        <f>C230+1</f>
        <v>85</v>
      </c>
      <c r="E241" s="1253" t="s">
        <v>830</v>
      </c>
      <c r="K241" s="1033">
        <f>K122+K227</f>
        <v>0</v>
      </c>
      <c r="L241" s="1032"/>
      <c r="M241" s="1033">
        <f>M122+M227</f>
        <v>0</v>
      </c>
      <c r="N241" s="1032"/>
      <c r="O241" s="1033">
        <f>O122+O227</f>
        <v>0</v>
      </c>
      <c r="P241" s="1032"/>
      <c r="Q241" s="1033">
        <f>Q122+Q227</f>
        <v>0</v>
      </c>
    </row>
    <row r="242" spans="1:19">
      <c r="C242" s="1196">
        <f>C241+1</f>
        <v>86</v>
      </c>
      <c r="E242" s="1253" t="s">
        <v>831</v>
      </c>
      <c r="K242" s="1037">
        <f>K123+K228</f>
        <v>-159552306.09562606</v>
      </c>
      <c r="M242" s="1037">
        <f>M123+M228</f>
        <v>-97637767.737039968</v>
      </c>
      <c r="O242" s="1037">
        <f>O123+O228</f>
        <v>13403620.184182387</v>
      </c>
      <c r="Q242" s="1037">
        <f>Q123+Q228</f>
        <v>-84234147.552857578</v>
      </c>
    </row>
    <row r="243" spans="1:19" ht="5.15" customHeight="1">
      <c r="K243" s="1268"/>
      <c r="M243" s="1268"/>
      <c r="O243" s="1268"/>
      <c r="Q243" s="1268"/>
    </row>
    <row r="244" spans="1:19" ht="13">
      <c r="C244" s="1196">
        <f>C242+1</f>
        <v>87</v>
      </c>
      <c r="E244" s="1189" t="s">
        <v>832</v>
      </c>
      <c r="K244" s="1034">
        <f>SUM(K241:K243)</f>
        <v>-159552306.09562606</v>
      </c>
      <c r="L244" s="1034"/>
      <c r="M244" s="1034">
        <f>SUM(M241:M243)</f>
        <v>-97637767.737039968</v>
      </c>
      <c r="N244" s="1032"/>
      <c r="O244" s="1034">
        <f>SUM(O241:O243)</f>
        <v>13403620.184182387</v>
      </c>
      <c r="P244" s="1032"/>
      <c r="Q244" s="1034">
        <f>SUM(Q241:Q243)</f>
        <v>-84234147.552857578</v>
      </c>
    </row>
    <row r="248" spans="1:19" ht="18">
      <c r="A248" s="1272"/>
      <c r="B248" s="1272" t="s">
        <v>894</v>
      </c>
      <c r="C248" s="1272"/>
      <c r="D248" s="1272"/>
      <c r="E248" s="1272"/>
      <c r="F248" s="1272"/>
      <c r="G248" s="1272"/>
      <c r="H248" s="1272"/>
      <c r="I248" s="1272"/>
      <c r="J248" s="1272"/>
      <c r="K248" s="1272"/>
      <c r="L248" s="1272"/>
      <c r="M248" s="1272"/>
      <c r="N248" s="1272"/>
      <c r="O248" s="1272"/>
      <c r="P248" s="1272"/>
      <c r="Q248" s="1272"/>
      <c r="R248" s="1272"/>
      <c r="S248" s="1272"/>
    </row>
    <row r="249" spans="1:19">
      <c r="A249" s="1273"/>
      <c r="B249" s="1273"/>
      <c r="C249" s="1273"/>
      <c r="D249" s="1273"/>
      <c r="E249" s="1273"/>
      <c r="F249" s="1273"/>
      <c r="G249" s="1273"/>
      <c r="H249" s="1273"/>
      <c r="I249" s="1273"/>
      <c r="J249" s="1273"/>
      <c r="K249" s="1273"/>
      <c r="L249" s="1273"/>
      <c r="M249" s="1273"/>
      <c r="N249" s="1273"/>
      <c r="O249" s="1273"/>
      <c r="P249" s="1273"/>
      <c r="Q249" s="1273"/>
    </row>
    <row r="250" spans="1:19" ht="12.75" customHeight="1">
      <c r="A250" s="1273"/>
      <c r="B250" s="1551" t="s">
        <v>1320</v>
      </c>
      <c r="C250" s="1551"/>
      <c r="D250" s="1551"/>
      <c r="E250" s="1551"/>
      <c r="F250" s="1551"/>
      <c r="G250" s="1551"/>
      <c r="H250" s="1551"/>
      <c r="I250" s="1551"/>
      <c r="J250" s="1551"/>
      <c r="K250" s="1551"/>
      <c r="L250" s="1551"/>
      <c r="M250" s="1551"/>
      <c r="N250" s="1551"/>
      <c r="O250" s="1551"/>
      <c r="P250" s="1551"/>
      <c r="Q250" s="1551"/>
    </row>
    <row r="251" spans="1:19">
      <c r="A251" s="1273"/>
      <c r="B251" s="1551"/>
      <c r="C251" s="1551"/>
      <c r="D251" s="1551"/>
      <c r="E251" s="1551"/>
      <c r="F251" s="1551"/>
      <c r="G251" s="1551"/>
      <c r="H251" s="1551"/>
      <c r="I251" s="1551"/>
      <c r="J251" s="1551"/>
      <c r="K251" s="1551"/>
      <c r="L251" s="1551"/>
      <c r="M251" s="1551"/>
      <c r="N251" s="1551"/>
      <c r="O251" s="1551"/>
      <c r="P251" s="1551"/>
      <c r="Q251" s="1551"/>
    </row>
    <row r="252" spans="1:19">
      <c r="A252" s="1273"/>
      <c r="B252" s="1551"/>
      <c r="C252" s="1551"/>
      <c r="D252" s="1551"/>
      <c r="E252" s="1551"/>
      <c r="F252" s="1551"/>
      <c r="G252" s="1551"/>
      <c r="H252" s="1551"/>
      <c r="I252" s="1551"/>
      <c r="J252" s="1551"/>
      <c r="K252" s="1551"/>
      <c r="L252" s="1551"/>
      <c r="M252" s="1551"/>
      <c r="N252" s="1551"/>
      <c r="O252" s="1551"/>
      <c r="P252" s="1551"/>
      <c r="Q252" s="1551"/>
    </row>
    <row r="253" spans="1:19">
      <c r="A253" s="1273"/>
      <c r="B253" s="1551" t="s">
        <v>981</v>
      </c>
      <c r="C253" s="1551"/>
      <c r="D253" s="1551"/>
      <c r="E253" s="1551"/>
      <c r="F253" s="1551"/>
      <c r="G253" s="1551"/>
      <c r="H253" s="1551"/>
      <c r="I253" s="1551"/>
      <c r="J253" s="1551"/>
      <c r="K253" s="1551"/>
      <c r="L253" s="1551"/>
      <c r="M253" s="1551"/>
      <c r="N253" s="1551"/>
      <c r="O253" s="1551"/>
      <c r="P253" s="1551"/>
      <c r="Q253" s="1551"/>
    </row>
    <row r="254" spans="1:19">
      <c r="A254" s="1273"/>
      <c r="B254" s="1551"/>
      <c r="C254" s="1551"/>
      <c r="D254" s="1551"/>
      <c r="E254" s="1551"/>
      <c r="F254" s="1551"/>
      <c r="G254" s="1551"/>
      <c r="H254" s="1551"/>
      <c r="I254" s="1551"/>
      <c r="J254" s="1551"/>
      <c r="K254" s="1551"/>
      <c r="L254" s="1551"/>
      <c r="M254" s="1551"/>
      <c r="N254" s="1551"/>
      <c r="O254" s="1551"/>
      <c r="P254" s="1551"/>
      <c r="Q254" s="1551"/>
    </row>
    <row r="255" spans="1:19">
      <c r="A255" s="1273"/>
      <c r="B255" s="1551"/>
      <c r="C255" s="1551"/>
      <c r="D255" s="1551"/>
      <c r="E255" s="1551"/>
      <c r="F255" s="1551"/>
      <c r="G255" s="1551"/>
      <c r="H255" s="1551"/>
      <c r="I255" s="1551"/>
      <c r="J255" s="1551"/>
      <c r="K255" s="1551"/>
      <c r="L255" s="1551"/>
      <c r="M255" s="1551"/>
      <c r="N255" s="1551"/>
      <c r="O255" s="1551"/>
      <c r="P255" s="1551"/>
      <c r="Q255" s="1551"/>
    </row>
    <row r="256" spans="1:19">
      <c r="A256" s="1273"/>
      <c r="B256" s="1551" t="s">
        <v>1154</v>
      </c>
      <c r="C256" s="1551"/>
      <c r="D256" s="1551"/>
      <c r="E256" s="1551"/>
      <c r="F256" s="1551"/>
      <c r="G256" s="1551"/>
      <c r="H256" s="1551"/>
      <c r="I256" s="1551"/>
      <c r="J256" s="1551"/>
      <c r="K256" s="1551"/>
      <c r="L256" s="1551"/>
      <c r="M256" s="1551"/>
      <c r="N256" s="1551"/>
      <c r="O256" s="1551"/>
      <c r="P256" s="1551"/>
      <c r="Q256" s="1551"/>
    </row>
    <row r="257" spans="1:19">
      <c r="A257" s="1273"/>
      <c r="B257" s="1551"/>
      <c r="C257" s="1551"/>
      <c r="D257" s="1551"/>
      <c r="E257" s="1551"/>
      <c r="F257" s="1551"/>
      <c r="G257" s="1551"/>
      <c r="H257" s="1551"/>
      <c r="I257" s="1551"/>
      <c r="J257" s="1551"/>
      <c r="K257" s="1551"/>
      <c r="L257" s="1551"/>
      <c r="M257" s="1551"/>
      <c r="N257" s="1551"/>
      <c r="O257" s="1551"/>
      <c r="P257" s="1551"/>
      <c r="Q257" s="1551"/>
    </row>
    <row r="258" spans="1:19">
      <c r="A258" s="1273"/>
      <c r="B258" s="1551"/>
      <c r="C258" s="1551"/>
      <c r="D258" s="1551"/>
      <c r="E258" s="1551"/>
      <c r="F258" s="1551"/>
      <c r="G258" s="1551"/>
      <c r="H258" s="1551"/>
      <c r="I258" s="1551"/>
      <c r="J258" s="1551"/>
      <c r="K258" s="1551"/>
      <c r="L258" s="1551"/>
      <c r="M258" s="1551"/>
      <c r="N258" s="1551"/>
      <c r="O258" s="1551"/>
      <c r="P258" s="1551"/>
      <c r="Q258" s="1551"/>
    </row>
    <row r="259" spans="1:19">
      <c r="A259" s="1273"/>
      <c r="B259" s="1551" t="s">
        <v>979</v>
      </c>
      <c r="C259" s="1551"/>
      <c r="D259" s="1551"/>
      <c r="E259" s="1551"/>
      <c r="F259" s="1551"/>
      <c r="G259" s="1551"/>
      <c r="H259" s="1551"/>
      <c r="I259" s="1551"/>
      <c r="J259" s="1551"/>
      <c r="K259" s="1551"/>
      <c r="L259" s="1551"/>
      <c r="M259" s="1551"/>
      <c r="N259" s="1551"/>
      <c r="O259" s="1551"/>
      <c r="P259" s="1551"/>
      <c r="Q259" s="1551"/>
    </row>
    <row r="260" spans="1:19">
      <c r="A260" s="1273"/>
      <c r="B260" s="1551"/>
      <c r="C260" s="1551"/>
      <c r="D260" s="1551"/>
      <c r="E260" s="1551"/>
      <c r="F260" s="1551"/>
      <c r="G260" s="1551"/>
      <c r="H260" s="1551"/>
      <c r="I260" s="1551"/>
      <c r="J260" s="1551"/>
      <c r="K260" s="1551"/>
      <c r="L260" s="1551"/>
      <c r="M260" s="1551"/>
      <c r="N260" s="1551"/>
      <c r="O260" s="1551"/>
      <c r="P260" s="1551"/>
      <c r="Q260" s="1551"/>
    </row>
    <row r="261" spans="1:19">
      <c r="A261" s="1273"/>
      <c r="B261" s="1338"/>
      <c r="C261" s="1338"/>
      <c r="D261" s="1338"/>
      <c r="E261" s="1338"/>
      <c r="F261" s="1338"/>
      <c r="G261" s="1338"/>
      <c r="H261" s="1338"/>
      <c r="I261" s="1338"/>
      <c r="J261" s="1338"/>
      <c r="K261" s="1338"/>
      <c r="L261" s="1338"/>
      <c r="M261" s="1338"/>
      <c r="N261" s="1338"/>
      <c r="O261" s="1338"/>
      <c r="P261" s="1338"/>
      <c r="Q261" s="1338"/>
    </row>
    <row r="262" spans="1:19" ht="18">
      <c r="A262" s="1272"/>
      <c r="B262" s="1272" t="s">
        <v>839</v>
      </c>
      <c r="C262" s="1272"/>
      <c r="D262" s="1272"/>
      <c r="E262" s="1272"/>
      <c r="F262" s="1272"/>
      <c r="G262" s="1272"/>
      <c r="H262" s="1272"/>
      <c r="I262" s="1272"/>
      <c r="J262" s="1272"/>
      <c r="K262" s="1272"/>
      <c r="L262" s="1272"/>
      <c r="M262" s="1272"/>
      <c r="N262" s="1272"/>
      <c r="O262" s="1272"/>
      <c r="P262" s="1272"/>
      <c r="Q262" s="1272"/>
      <c r="R262" s="1272"/>
      <c r="S262" s="1272"/>
    </row>
    <row r="263" spans="1:19">
      <c r="A263" s="1273"/>
      <c r="B263" s="1273"/>
      <c r="C263" s="1273"/>
      <c r="D263" s="1273"/>
      <c r="E263" s="1273"/>
      <c r="F263" s="1273"/>
      <c r="G263" s="1273"/>
      <c r="H263" s="1273"/>
      <c r="I263" s="1273" t="s">
        <v>154</v>
      </c>
      <c r="J263" s="1273"/>
      <c r="K263" s="1273"/>
      <c r="L263" s="1273"/>
      <c r="M263" s="1273"/>
      <c r="N263" s="1273"/>
      <c r="O263" s="1273"/>
      <c r="P263" s="1273"/>
      <c r="Q263" s="1273"/>
    </row>
    <row r="264" spans="1:19" ht="12.75" customHeight="1">
      <c r="A264" s="1273"/>
      <c r="B264" s="1273" t="s">
        <v>156</v>
      </c>
      <c r="C264" s="1551" t="s">
        <v>1494</v>
      </c>
      <c r="D264" s="1551"/>
      <c r="E264" s="1551"/>
      <c r="F264" s="1551"/>
      <c r="G264" s="1551"/>
      <c r="H264" s="1551"/>
      <c r="I264" s="1551"/>
      <c r="J264" s="1551"/>
      <c r="K264" s="1551"/>
      <c r="L264" s="1551"/>
      <c r="M264" s="1551"/>
      <c r="N264" s="1551"/>
      <c r="O264" s="1551"/>
      <c r="P264" s="1551"/>
      <c r="Q264" s="1551"/>
    </row>
    <row r="265" spans="1:19">
      <c r="A265" s="1273"/>
      <c r="B265" s="1273"/>
      <c r="C265" s="1551"/>
      <c r="D265" s="1551"/>
      <c r="E265" s="1551"/>
      <c r="F265" s="1551"/>
      <c r="G265" s="1551"/>
      <c r="H265" s="1551"/>
      <c r="I265" s="1551"/>
      <c r="J265" s="1551"/>
      <c r="K265" s="1551"/>
      <c r="L265" s="1551"/>
      <c r="M265" s="1551"/>
      <c r="N265" s="1551"/>
      <c r="O265" s="1551"/>
      <c r="P265" s="1551"/>
      <c r="Q265" s="1551"/>
    </row>
    <row r="266" spans="1:19">
      <c r="A266" s="1273"/>
      <c r="B266" s="1273"/>
      <c r="C266" s="1551"/>
      <c r="D266" s="1551"/>
      <c r="E266" s="1551"/>
      <c r="F266" s="1551"/>
      <c r="G266" s="1551"/>
      <c r="H266" s="1551"/>
      <c r="I266" s="1551"/>
      <c r="J266" s="1551"/>
      <c r="K266" s="1551"/>
      <c r="L266" s="1551"/>
      <c r="M266" s="1551"/>
      <c r="N266" s="1551"/>
      <c r="O266" s="1551"/>
      <c r="P266" s="1551"/>
      <c r="Q266" s="1551"/>
    </row>
    <row r="267" spans="1:19">
      <c r="A267" s="1273"/>
      <c r="B267" s="1273"/>
      <c r="C267" s="1551"/>
      <c r="D267" s="1551"/>
      <c r="E267" s="1551"/>
      <c r="F267" s="1551"/>
      <c r="G267" s="1551"/>
      <c r="H267" s="1551"/>
      <c r="I267" s="1551"/>
      <c r="J267" s="1551"/>
      <c r="K267" s="1551"/>
      <c r="L267" s="1551"/>
      <c r="M267" s="1551"/>
      <c r="N267" s="1551"/>
      <c r="O267" s="1551"/>
      <c r="P267" s="1551"/>
      <c r="Q267" s="1551"/>
    </row>
    <row r="268" spans="1:19">
      <c r="A268" s="1273"/>
      <c r="B268" s="1273"/>
      <c r="C268" s="1551"/>
      <c r="D268" s="1551"/>
      <c r="E268" s="1551"/>
      <c r="F268" s="1551"/>
      <c r="G268" s="1551"/>
      <c r="H268" s="1551"/>
      <c r="I268" s="1551"/>
      <c r="J268" s="1551"/>
      <c r="K268" s="1551"/>
      <c r="L268" s="1551"/>
      <c r="M268" s="1551"/>
      <c r="N268" s="1551"/>
      <c r="O268" s="1551"/>
      <c r="P268" s="1551"/>
      <c r="Q268" s="1551"/>
    </row>
    <row r="269" spans="1:19">
      <c r="A269" s="1273"/>
      <c r="B269" s="1273"/>
      <c r="C269" s="1551"/>
      <c r="D269" s="1551"/>
      <c r="E269" s="1551"/>
      <c r="F269" s="1551"/>
      <c r="G269" s="1551"/>
      <c r="H269" s="1551"/>
      <c r="I269" s="1551"/>
      <c r="J269" s="1551"/>
      <c r="K269" s="1551"/>
      <c r="L269" s="1551"/>
      <c r="M269" s="1551"/>
      <c r="N269" s="1551"/>
      <c r="O269" s="1551"/>
      <c r="P269" s="1551"/>
      <c r="Q269" s="1551"/>
    </row>
    <row r="270" spans="1:19">
      <c r="A270" s="1273"/>
      <c r="B270" s="1273"/>
      <c r="C270" s="1551"/>
      <c r="D270" s="1551"/>
      <c r="E270" s="1551"/>
      <c r="F270" s="1551"/>
      <c r="G270" s="1551"/>
      <c r="H270" s="1551"/>
      <c r="I270" s="1551"/>
      <c r="J270" s="1551"/>
      <c r="K270" s="1551"/>
      <c r="L270" s="1551"/>
      <c r="M270" s="1551"/>
      <c r="N270" s="1551"/>
      <c r="O270" s="1551"/>
      <c r="P270" s="1551"/>
      <c r="Q270" s="1551"/>
    </row>
    <row r="271" spans="1:19" ht="12.75" customHeight="1">
      <c r="A271" s="1273"/>
      <c r="B271" s="1273" t="s">
        <v>293</v>
      </c>
      <c r="C271" s="1551" t="s">
        <v>1155</v>
      </c>
      <c r="D271" s="1551"/>
      <c r="E271" s="1551"/>
      <c r="F271" s="1551"/>
      <c r="G271" s="1551"/>
      <c r="H271" s="1551"/>
      <c r="I271" s="1551"/>
      <c r="J271" s="1551"/>
      <c r="K271" s="1551"/>
      <c r="L271" s="1551"/>
      <c r="M271" s="1551"/>
      <c r="N271" s="1551"/>
      <c r="O271" s="1551"/>
      <c r="P271" s="1551"/>
      <c r="Q271" s="1551"/>
    </row>
    <row r="272" spans="1:19" ht="12.75" customHeight="1">
      <c r="A272" s="1273"/>
      <c r="B272" s="1273"/>
      <c r="C272" s="1551"/>
      <c r="D272" s="1551"/>
      <c r="E272" s="1551"/>
      <c r="F272" s="1551"/>
      <c r="G272" s="1551"/>
      <c r="H272" s="1551"/>
      <c r="I272" s="1551"/>
      <c r="J272" s="1551"/>
      <c r="K272" s="1551"/>
      <c r="L272" s="1551"/>
      <c r="M272" s="1551"/>
      <c r="N272" s="1551"/>
      <c r="O272" s="1551"/>
      <c r="P272" s="1551"/>
      <c r="Q272" s="1551"/>
    </row>
    <row r="273" spans="1:19">
      <c r="A273" s="1273"/>
      <c r="B273" s="1273"/>
      <c r="C273" s="1551"/>
      <c r="D273" s="1551"/>
      <c r="E273" s="1551"/>
      <c r="F273" s="1551"/>
      <c r="G273" s="1551"/>
      <c r="H273" s="1551"/>
      <c r="I273" s="1551"/>
      <c r="J273" s="1551"/>
      <c r="K273" s="1551"/>
      <c r="L273" s="1551"/>
      <c r="M273" s="1551"/>
      <c r="N273" s="1551"/>
      <c r="O273" s="1551"/>
      <c r="P273" s="1551"/>
      <c r="Q273" s="1551"/>
    </row>
    <row r="274" spans="1:19">
      <c r="E274" s="1334"/>
      <c r="F274" s="1334"/>
      <c r="G274" s="1334"/>
      <c r="H274" s="1334"/>
      <c r="I274" s="1334"/>
      <c r="J274" s="1334"/>
      <c r="K274" s="1334"/>
      <c r="L274" s="1334"/>
      <c r="M274" s="1334"/>
      <c r="N274" s="1334"/>
      <c r="O274" s="1334"/>
      <c r="P274" s="1334"/>
      <c r="Q274" s="1334"/>
    </row>
    <row r="275" spans="1:19" ht="15.5">
      <c r="A275" s="1237" t="s">
        <v>840</v>
      </c>
      <c r="B275" s="1237"/>
      <c r="C275" s="1237"/>
      <c r="D275" s="1237"/>
      <c r="E275" s="1238"/>
      <c r="F275" s="1239"/>
      <c r="G275" s="1239"/>
      <c r="H275" s="1240"/>
      <c r="I275" s="1239"/>
      <c r="J275" s="1239"/>
      <c r="K275" s="1239"/>
      <c r="L275" s="1239"/>
      <c r="M275" s="1239"/>
      <c r="N275" s="1239"/>
      <c r="O275" s="1239"/>
      <c r="P275" s="1239"/>
      <c r="Q275" s="1239"/>
      <c r="R275" s="1239"/>
      <c r="S275" s="1239"/>
    </row>
  </sheetData>
  <mergeCells count="66">
    <mergeCell ref="C271:Q273"/>
    <mergeCell ref="C224:C225"/>
    <mergeCell ref="E224:E225"/>
    <mergeCell ref="G224:I225"/>
    <mergeCell ref="E233:Q233"/>
    <mergeCell ref="E235:Q235"/>
    <mergeCell ref="C238:C239"/>
    <mergeCell ref="E238:E239"/>
    <mergeCell ref="G238:I239"/>
    <mergeCell ref="B250:Q252"/>
    <mergeCell ref="B253:Q255"/>
    <mergeCell ref="B256:Q258"/>
    <mergeCell ref="B259:Q260"/>
    <mergeCell ref="C264:Q270"/>
    <mergeCell ref="E221:Q221"/>
    <mergeCell ref="C170:C171"/>
    <mergeCell ref="E170:E171"/>
    <mergeCell ref="G170:G171"/>
    <mergeCell ref="I170:I171"/>
    <mergeCell ref="O170:O171"/>
    <mergeCell ref="E203:Q203"/>
    <mergeCell ref="C206:C207"/>
    <mergeCell ref="E206:E207"/>
    <mergeCell ref="G206:G207"/>
    <mergeCell ref="I206:I207"/>
    <mergeCell ref="O206:O207"/>
    <mergeCell ref="C167:Q167"/>
    <mergeCell ref="C116:Q116"/>
    <mergeCell ref="C119:C120"/>
    <mergeCell ref="E119:E120"/>
    <mergeCell ref="G119:I120"/>
    <mergeCell ref="C129:Q129"/>
    <mergeCell ref="C131:Q131"/>
    <mergeCell ref="C134:C135"/>
    <mergeCell ref="E134:E135"/>
    <mergeCell ref="G134:G135"/>
    <mergeCell ref="I134:I135"/>
    <mergeCell ref="O134:O135"/>
    <mergeCell ref="C98:Q98"/>
    <mergeCell ref="C101:C102"/>
    <mergeCell ref="E101:E102"/>
    <mergeCell ref="G101:G102"/>
    <mergeCell ref="I101:I102"/>
    <mergeCell ref="O101:O102"/>
    <mergeCell ref="C62:Q62"/>
    <mergeCell ref="C65:C66"/>
    <mergeCell ref="E65:E66"/>
    <mergeCell ref="G65:G66"/>
    <mergeCell ref="I65:I66"/>
    <mergeCell ref="O65:O66"/>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s>
  <pageMargins left="0.7" right="0.7" top="0.75" bottom="0.75" header="0.3" footer="0.3"/>
  <pageSetup scale="52" orientation="landscape" r:id="rId1"/>
  <rowBreaks count="2" manualBreakCount="2">
    <brk id="126" max="19" man="1"/>
    <brk id="247"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3A600-DEED-4A00-93CF-7813ABF06E4C}">
  <dimension ref="A1:FF325"/>
  <sheetViews>
    <sheetView topLeftCell="J43" zoomScale="68" zoomScaleNormal="68" workbookViewId="0">
      <selection activeCell="Z73" sqref="Z73"/>
    </sheetView>
  </sheetViews>
  <sheetFormatPr defaultColWidth="9.1796875" defaultRowHeight="12.5"/>
  <cols>
    <col min="1" max="1" width="5.7265625" style="1045" customWidth="1"/>
    <col min="2" max="2" width="9.453125" style="1047" customWidth="1"/>
    <col min="3" max="3" width="75.26953125" style="1047" customWidth="1"/>
    <col min="4" max="4" width="43.26953125" style="1047" customWidth="1"/>
    <col min="5" max="5" width="25.81640625" style="1047" bestFit="1" customWidth="1"/>
    <col min="6" max="10" width="21.54296875" style="1045" customWidth="1"/>
    <col min="11" max="11" width="5.453125" style="1045" customWidth="1"/>
    <col min="12" max="16" width="21.54296875" style="1045" customWidth="1"/>
    <col min="17" max="17" width="2.7265625" style="1045" customWidth="1"/>
    <col min="18" max="18" width="21.54296875" style="1045" customWidth="1"/>
    <col min="19" max="19" width="2.7265625" style="1045" customWidth="1"/>
    <col min="20" max="20" width="21.54296875" style="1045" customWidth="1"/>
    <col min="21" max="21" width="2.7265625" style="1045" customWidth="1"/>
    <col min="22" max="22" width="21.54296875" style="1045" customWidth="1"/>
    <col min="23" max="23" width="2.7265625" style="1045" customWidth="1"/>
    <col min="24" max="24" width="21.54296875" style="1045" customWidth="1"/>
    <col min="25" max="25" width="2.7265625" style="1045" customWidth="1"/>
    <col min="26" max="26" width="22.7265625" style="1047" customWidth="1"/>
    <col min="27" max="27" width="2.7265625" style="1045" customWidth="1"/>
    <col min="28" max="28" width="16.453125" style="1047" customWidth="1"/>
    <col min="29" max="29" width="2.7265625" style="1045" customWidth="1"/>
    <col min="30" max="30" width="14.54296875" style="1045" customWidth="1"/>
    <col min="31" max="31" width="2.54296875" style="1045" customWidth="1"/>
    <col min="32" max="32" width="22.26953125" style="1045" customWidth="1"/>
    <col min="33" max="33" width="2.54296875" style="1045" customWidth="1"/>
    <col min="34" max="34" width="20" style="1045" customWidth="1"/>
    <col min="35" max="35" width="2.7265625" style="1047" customWidth="1"/>
    <col min="36" max="16384" width="9.1796875" style="1045"/>
  </cols>
  <sheetData>
    <row r="1" spans="1:162" ht="14">
      <c r="A1" s="1258" t="s">
        <v>686</v>
      </c>
      <c r="B1" s="1258"/>
      <c r="C1" s="1045"/>
      <c r="D1" s="1045"/>
      <c r="E1" s="1045"/>
      <c r="X1" s="1258"/>
      <c r="Z1" s="1045"/>
      <c r="AB1" s="1045"/>
      <c r="AH1" s="1046"/>
      <c r="AI1" s="1046"/>
    </row>
    <row r="2" spans="1:162" ht="14">
      <c r="A2" s="1258" t="s">
        <v>870</v>
      </c>
      <c r="B2" s="1258"/>
      <c r="C2" s="1045"/>
      <c r="D2" s="1045"/>
      <c r="E2" s="1045"/>
      <c r="X2" s="1258"/>
      <c r="Z2" s="1045"/>
      <c r="AB2" s="1045"/>
      <c r="AH2" s="1046"/>
      <c r="AI2" s="1046"/>
    </row>
    <row r="3" spans="1:162" ht="14">
      <c r="A3" s="1258" t="s">
        <v>1156</v>
      </c>
      <c r="B3" s="1258"/>
      <c r="C3" s="1045"/>
      <c r="D3" s="1045"/>
      <c r="E3" s="1045"/>
      <c r="Z3" s="1045"/>
      <c r="AB3" s="1045"/>
      <c r="AH3" s="1046"/>
      <c r="AI3" s="1046"/>
    </row>
    <row r="4" spans="1:162" ht="14">
      <c r="B4" s="1258"/>
      <c r="AH4" s="1046"/>
      <c r="AI4" s="1046"/>
    </row>
    <row r="5" spans="1:162" ht="19">
      <c r="B5" s="1554" t="s">
        <v>871</v>
      </c>
      <c r="C5" s="1555"/>
      <c r="D5" s="1555"/>
      <c r="E5" s="1555"/>
      <c r="F5" s="1555"/>
      <c r="G5" s="1555"/>
      <c r="H5" s="1555"/>
      <c r="I5" s="1555"/>
      <c r="J5" s="1555"/>
      <c r="K5" s="1555"/>
      <c r="L5" s="1555"/>
      <c r="M5" s="1555"/>
      <c r="N5" s="1555"/>
      <c r="O5" s="1555"/>
      <c r="P5" s="1555"/>
      <c r="Q5" s="1555"/>
      <c r="R5" s="1555"/>
      <c r="S5" s="1555"/>
      <c r="T5" s="1555"/>
      <c r="U5" s="1555"/>
      <c r="V5" s="1555"/>
      <c r="W5" s="1555"/>
      <c r="X5" s="1555"/>
      <c r="Y5" s="1555"/>
      <c r="Z5" s="1555"/>
      <c r="AA5" s="1555"/>
      <c r="AB5" s="1555"/>
      <c r="AC5" s="1555"/>
      <c r="AD5" s="1555"/>
      <c r="AE5" s="1555"/>
      <c r="AF5" s="1555"/>
      <c r="AG5" s="1555"/>
      <c r="AH5" s="1556"/>
      <c r="AI5" s="1046"/>
    </row>
    <row r="6" spans="1:162" ht="14">
      <c r="B6" s="1258"/>
      <c r="AH6" s="1046"/>
      <c r="AI6" s="1046"/>
    </row>
    <row r="7" spans="1:162" s="1048" customFormat="1" ht="15.5">
      <c r="B7" s="1049"/>
      <c r="C7" s="1049"/>
      <c r="D7" s="1049"/>
      <c r="E7" s="1049"/>
      <c r="F7" s="1557" t="s">
        <v>872</v>
      </c>
      <c r="G7" s="1558"/>
      <c r="H7" s="1558"/>
      <c r="I7" s="1558"/>
      <c r="J7" s="1559"/>
      <c r="L7" s="1557" t="s">
        <v>873</v>
      </c>
      <c r="M7" s="1558"/>
      <c r="N7" s="1558"/>
      <c r="O7" s="1558"/>
      <c r="P7" s="1559"/>
      <c r="R7" s="1557" t="s">
        <v>874</v>
      </c>
      <c r="S7" s="1558"/>
      <c r="T7" s="1558"/>
      <c r="U7" s="1558"/>
      <c r="V7" s="1558"/>
      <c r="W7" s="1558"/>
      <c r="X7" s="1558"/>
      <c r="Y7" s="1558"/>
      <c r="Z7" s="1558"/>
      <c r="AA7" s="1558"/>
      <c r="AB7" s="1558"/>
      <c r="AC7" s="1558"/>
      <c r="AD7" s="1558"/>
      <c r="AE7" s="1558"/>
      <c r="AF7" s="1559"/>
      <c r="AG7" s="1050"/>
      <c r="AH7" s="1051"/>
      <c r="AI7" s="1051"/>
    </row>
    <row r="8" spans="1:162" s="1052" customFormat="1" ht="61.5" customHeight="1">
      <c r="B8" s="1274" t="s">
        <v>841</v>
      </c>
      <c r="C8" s="1275" t="s">
        <v>842</v>
      </c>
      <c r="D8" s="1275" t="s">
        <v>656</v>
      </c>
      <c r="E8" s="1274" t="s">
        <v>843</v>
      </c>
      <c r="F8" s="1274" t="s">
        <v>846</v>
      </c>
      <c r="G8" s="1274" t="s">
        <v>844</v>
      </c>
      <c r="H8" s="1274" t="s">
        <v>848</v>
      </c>
      <c r="I8" s="1274" t="s">
        <v>845</v>
      </c>
      <c r="J8" s="1274" t="s">
        <v>875</v>
      </c>
      <c r="K8" s="1274"/>
      <c r="L8" s="1274" t="s">
        <v>846</v>
      </c>
      <c r="M8" s="1274" t="s">
        <v>847</v>
      </c>
      <c r="N8" s="1274" t="s">
        <v>848</v>
      </c>
      <c r="O8" s="1274" t="s">
        <v>845</v>
      </c>
      <c r="P8" s="1274" t="s">
        <v>875</v>
      </c>
      <c r="Q8" s="1274"/>
      <c r="R8" s="1274" t="s">
        <v>876</v>
      </c>
      <c r="S8" s="1274"/>
      <c r="T8" s="1274" t="s">
        <v>849</v>
      </c>
      <c r="U8" s="1274"/>
      <c r="V8" s="1274" t="s">
        <v>978</v>
      </c>
      <c r="W8" s="1274"/>
      <c r="X8" s="1274" t="s">
        <v>1157</v>
      </c>
      <c r="Y8" s="1274"/>
      <c r="Z8" s="1274" t="s">
        <v>877</v>
      </c>
      <c r="AA8" s="1274"/>
      <c r="AB8" s="1274" t="s">
        <v>850</v>
      </c>
      <c r="AC8" s="1274"/>
      <c r="AD8" s="1274" t="s">
        <v>878</v>
      </c>
      <c r="AE8" s="1274"/>
      <c r="AF8" s="1274" t="s">
        <v>1158</v>
      </c>
      <c r="AG8" s="1274"/>
      <c r="AH8" s="1274" t="s">
        <v>851</v>
      </c>
      <c r="AI8" s="1045"/>
      <c r="AJ8" s="1045"/>
      <c r="AK8" s="1045"/>
      <c r="AL8" s="1045"/>
      <c r="AM8" s="1045"/>
      <c r="AN8" s="1045"/>
      <c r="AO8" s="1045"/>
      <c r="AP8" s="1045"/>
      <c r="AQ8" s="1045"/>
      <c r="AR8" s="1045"/>
      <c r="AS8" s="1045"/>
      <c r="AT8" s="1045"/>
      <c r="AU8" s="1045"/>
      <c r="AV8" s="1045"/>
      <c r="AW8" s="1045"/>
      <c r="AX8" s="1045"/>
      <c r="AY8" s="1045"/>
      <c r="AZ8" s="1045"/>
      <c r="BA8" s="1045"/>
      <c r="BB8" s="1045"/>
      <c r="BC8" s="1045"/>
      <c r="BD8" s="1045"/>
      <c r="BE8" s="1045"/>
      <c r="BF8" s="1045"/>
      <c r="BG8" s="1045"/>
      <c r="BH8" s="1045"/>
      <c r="BI8" s="1045"/>
      <c r="BJ8" s="1045"/>
      <c r="BK8" s="1045"/>
      <c r="BL8" s="1045"/>
      <c r="BM8" s="1045"/>
      <c r="BN8" s="1045"/>
      <c r="BO8" s="1045"/>
      <c r="BP8" s="1045"/>
      <c r="BQ8" s="1045"/>
      <c r="BR8" s="1045"/>
      <c r="BS8" s="1045"/>
      <c r="BT8" s="1045"/>
      <c r="BU8" s="1045"/>
      <c r="BV8" s="1045"/>
      <c r="BW8" s="1045"/>
      <c r="BX8" s="1045"/>
      <c r="BY8" s="1045"/>
      <c r="BZ8" s="1045"/>
      <c r="CA8" s="1045"/>
      <c r="CB8" s="1045"/>
      <c r="CC8" s="1045"/>
      <c r="CD8" s="1045"/>
      <c r="CE8" s="1045"/>
      <c r="CF8" s="1045"/>
      <c r="CG8" s="1045"/>
      <c r="CH8" s="1045"/>
      <c r="CI8" s="1045"/>
      <c r="CJ8" s="1045"/>
      <c r="CK8" s="1045"/>
      <c r="CL8" s="1045"/>
      <c r="CM8" s="1045"/>
      <c r="CN8" s="1045"/>
      <c r="CO8" s="1045"/>
      <c r="CP8" s="1045"/>
      <c r="CQ8" s="1045"/>
      <c r="CR8" s="1045"/>
      <c r="CS8" s="1045"/>
      <c r="CT8" s="1045"/>
      <c r="CU8" s="1045"/>
      <c r="CV8" s="1045"/>
      <c r="CW8" s="1045"/>
      <c r="CX8" s="1045"/>
      <c r="CY8" s="1045"/>
      <c r="CZ8" s="1045"/>
      <c r="DA8" s="1045"/>
      <c r="DB8" s="1045"/>
      <c r="DC8" s="1045"/>
      <c r="DD8" s="1045"/>
      <c r="DE8" s="1045"/>
      <c r="DF8" s="1045"/>
      <c r="DG8" s="1045"/>
      <c r="DH8" s="1045"/>
      <c r="DI8" s="1045"/>
      <c r="DJ8" s="1045"/>
      <c r="DK8" s="1045"/>
      <c r="DL8" s="1045"/>
      <c r="DM8" s="1045"/>
      <c r="DN8" s="1045"/>
      <c r="DO8" s="1045"/>
      <c r="DP8" s="1045"/>
      <c r="DQ8" s="1045"/>
      <c r="DR8" s="1045"/>
      <c r="DS8" s="1045"/>
      <c r="DT8" s="1045"/>
      <c r="DU8" s="1045"/>
      <c r="DV8" s="1045"/>
      <c r="DW8" s="1045"/>
      <c r="DX8" s="1045"/>
      <c r="DY8" s="1045"/>
      <c r="DZ8" s="1045"/>
      <c r="EA8" s="1045"/>
      <c r="EB8" s="1045"/>
      <c r="EC8" s="1045"/>
      <c r="ED8" s="1045"/>
      <c r="EE8" s="1045"/>
      <c r="EF8" s="1045"/>
      <c r="EG8" s="1045"/>
      <c r="EH8" s="1045"/>
      <c r="EI8" s="1045"/>
      <c r="EJ8" s="1045"/>
      <c r="EK8" s="1045"/>
      <c r="EL8" s="1045"/>
      <c r="EM8" s="1045"/>
      <c r="EN8" s="1045"/>
      <c r="EO8" s="1045"/>
      <c r="EP8" s="1045"/>
      <c r="EQ8" s="1045"/>
      <c r="ER8" s="1045"/>
      <c r="ES8" s="1045"/>
      <c r="ET8" s="1045"/>
      <c r="EU8" s="1045"/>
      <c r="EV8" s="1045"/>
      <c r="EW8" s="1045"/>
      <c r="EX8" s="1045"/>
      <c r="EY8" s="1045"/>
      <c r="EZ8" s="1045"/>
      <c r="FA8" s="1045"/>
      <c r="FB8" s="1045"/>
      <c r="FC8" s="1045"/>
      <c r="FD8" s="1045"/>
      <c r="FE8" s="1045"/>
      <c r="FF8" s="1045"/>
    </row>
    <row r="9" spans="1:162" ht="15" customHeight="1">
      <c r="B9" s="1053"/>
      <c r="C9" s="1276" t="s">
        <v>799</v>
      </c>
      <c r="D9" s="1277" t="s">
        <v>800</v>
      </c>
      <c r="E9" s="1277" t="s">
        <v>801</v>
      </c>
      <c r="F9" s="1277" t="s">
        <v>802</v>
      </c>
      <c r="G9" s="1277" t="s">
        <v>879</v>
      </c>
      <c r="H9" s="1277" t="s">
        <v>804</v>
      </c>
      <c r="I9" s="1277" t="s">
        <v>880</v>
      </c>
      <c r="J9" s="1277" t="s">
        <v>881</v>
      </c>
      <c r="K9" s="1054"/>
      <c r="L9" s="1277" t="s">
        <v>882</v>
      </c>
      <c r="M9" s="1277" t="s">
        <v>883</v>
      </c>
      <c r="N9" s="1277" t="s">
        <v>884</v>
      </c>
      <c r="O9" s="1277" t="s">
        <v>885</v>
      </c>
      <c r="P9" s="1277" t="s">
        <v>886</v>
      </c>
      <c r="Q9" s="1055"/>
      <c r="R9" s="1277" t="s">
        <v>887</v>
      </c>
      <c r="S9" s="1277"/>
      <c r="T9" s="1277" t="s">
        <v>888</v>
      </c>
      <c r="U9" s="1277"/>
      <c r="V9" s="1277" t="s">
        <v>852</v>
      </c>
      <c r="W9" s="1277"/>
      <c r="X9" s="1277" t="s">
        <v>889</v>
      </c>
      <c r="Y9" s="1277"/>
      <c r="Z9" s="1277" t="s">
        <v>890</v>
      </c>
      <c r="AA9" s="1277"/>
      <c r="AB9" s="1277" t="s">
        <v>853</v>
      </c>
      <c r="AC9" s="1277"/>
      <c r="AD9" s="1277" t="s">
        <v>854</v>
      </c>
      <c r="AE9" s="1277"/>
      <c r="AF9" s="1277" t="s">
        <v>891</v>
      </c>
      <c r="AG9" s="1277"/>
      <c r="AH9" s="1277" t="s">
        <v>892</v>
      </c>
      <c r="AI9" s="1045"/>
    </row>
    <row r="10" spans="1:162" s="1190" customFormat="1" ht="13">
      <c r="B10" s="1277"/>
      <c r="C10" s="1278"/>
      <c r="D10" s="1278"/>
      <c r="E10" s="1277"/>
      <c r="F10" s="1277"/>
      <c r="G10" s="1277"/>
      <c r="H10" s="1277"/>
      <c r="I10" s="1277"/>
      <c r="J10" s="1277"/>
      <c r="K10" s="1277"/>
      <c r="L10" s="1277"/>
      <c r="M10" s="1277"/>
      <c r="N10" s="1277"/>
      <c r="O10" s="1277"/>
      <c r="P10" s="1277"/>
      <c r="Q10" s="1277"/>
      <c r="R10" s="1277"/>
      <c r="S10" s="1277"/>
      <c r="T10" s="1277"/>
      <c r="U10" s="1277"/>
      <c r="V10" s="1277"/>
      <c r="W10" s="1277"/>
      <c r="X10" s="1277"/>
      <c r="Y10" s="1277"/>
      <c r="Z10" s="1277"/>
      <c r="AA10" s="1277"/>
      <c r="AB10" s="1277"/>
      <c r="AC10" s="1277"/>
      <c r="AD10" s="1277"/>
      <c r="AE10" s="1277"/>
      <c r="AF10" s="1277"/>
      <c r="AH10" s="1277"/>
    </row>
    <row r="11" spans="1:162" s="1190" customFormat="1" ht="13">
      <c r="B11" s="1277"/>
      <c r="C11" s="1279" t="s">
        <v>1321</v>
      </c>
      <c r="D11" s="1278"/>
      <c r="E11" s="1277"/>
      <c r="F11" s="1277"/>
      <c r="G11" s="1277"/>
      <c r="H11" s="1277"/>
      <c r="I11" s="1277"/>
      <c r="J11" s="1277"/>
      <c r="K11" s="1277"/>
      <c r="L11" s="1277"/>
      <c r="M11" s="1277"/>
      <c r="N11" s="1277"/>
      <c r="O11" s="1277"/>
      <c r="P11" s="1277"/>
      <c r="Q11" s="1277"/>
      <c r="R11" s="1277"/>
      <c r="S11" s="1277"/>
      <c r="T11" s="1277"/>
      <c r="U11" s="1277"/>
      <c r="V11" s="1277"/>
      <c r="W11" s="1277"/>
      <c r="X11" s="1277"/>
      <c r="Y11" s="1277"/>
      <c r="Z11" s="1277"/>
      <c r="AA11" s="1277"/>
      <c r="AB11" s="1277"/>
      <c r="AC11" s="1277"/>
      <c r="AD11" s="1277"/>
      <c r="AE11" s="1277"/>
      <c r="AF11" s="1277"/>
      <c r="AH11" s="1277"/>
    </row>
    <row r="12" spans="1:162">
      <c r="B12" s="1196">
        <v>1</v>
      </c>
      <c r="C12" s="1255" t="s">
        <v>1292</v>
      </c>
      <c r="D12" s="1280" t="s">
        <v>1292</v>
      </c>
      <c r="E12" s="1255" t="s">
        <v>855</v>
      </c>
      <c r="F12" s="1281">
        <v>43732575</v>
      </c>
      <c r="G12" s="1282">
        <f t="shared" ref="G12:G35" si="0">F12*0.35</f>
        <v>15306401.249999998</v>
      </c>
      <c r="H12" s="1281">
        <v>3607937.4375</v>
      </c>
      <c r="I12" s="1282">
        <f t="shared" ref="I12:I35" si="1">-H12*0.35</f>
        <v>-1262778.1031249999</v>
      </c>
      <c r="J12" s="1282">
        <f>G12+I12+H12</f>
        <v>17651560.584374998</v>
      </c>
      <c r="K12" s="1283"/>
      <c r="L12" s="1281">
        <f t="shared" ref="L12:L33" si="2">F12</f>
        <v>43732575</v>
      </c>
      <c r="M12" s="1282">
        <f t="shared" ref="M12:M35" si="3">L12*0.21</f>
        <v>9183840.75</v>
      </c>
      <c r="N12" s="1281">
        <v>3607937.4375</v>
      </c>
      <c r="O12" s="1282">
        <f t="shared" ref="O12:O35" si="4">-N12*0.21</f>
        <v>-757666.86187499994</v>
      </c>
      <c r="P12" s="1282">
        <f t="shared" ref="P12:P35" si="5">M12+O12+N12</f>
        <v>12034111.325625001</v>
      </c>
      <c r="R12" s="1282">
        <f t="shared" ref="R12:R35" si="6">J12-P12</f>
        <v>5617449.2587499972</v>
      </c>
      <c r="S12" s="1283"/>
      <c r="T12" s="1281">
        <v>5617449.258750001</v>
      </c>
      <c r="U12" s="1283"/>
      <c r="V12" s="1281">
        <v>0</v>
      </c>
      <c r="W12" s="1283"/>
      <c r="X12" s="1282">
        <f t="shared" ref="X12:X35" si="7">R12-T12-V12</f>
        <v>-3.7252902984619141E-9</v>
      </c>
      <c r="Y12" s="1283"/>
      <c r="Z12" s="1263" t="s">
        <v>856</v>
      </c>
      <c r="AA12" s="1284"/>
      <c r="AB12" s="1263" t="s">
        <v>392</v>
      </c>
      <c r="AC12" s="1284"/>
      <c r="AD12" s="1285">
        <v>0</v>
      </c>
      <c r="AE12" s="1284"/>
      <c r="AF12" s="1282">
        <f t="shared" ref="AF12:AF35" si="8">X12*AD12</f>
        <v>0</v>
      </c>
      <c r="AG12" s="1284"/>
      <c r="AH12" s="1196">
        <v>190</v>
      </c>
      <c r="AI12" s="1263"/>
    </row>
    <row r="13" spans="1:162">
      <c r="B13" s="1196">
        <v>2</v>
      </c>
      <c r="C13" s="1255" t="s">
        <v>858</v>
      </c>
      <c r="D13" s="1280" t="s">
        <v>1322</v>
      </c>
      <c r="E13" s="1255" t="s">
        <v>855</v>
      </c>
      <c r="F13" s="1286">
        <v>2781937</v>
      </c>
      <c r="G13" s="1287">
        <f t="shared" si="0"/>
        <v>973677.95</v>
      </c>
      <c r="H13" s="1286">
        <v>229509.80250000002</v>
      </c>
      <c r="I13" s="1287">
        <f t="shared" si="1"/>
        <v>-80328.430875000005</v>
      </c>
      <c r="J13" s="1287">
        <f t="shared" ref="J13:J35" si="9">G13+I13+H13</f>
        <v>1122859.3216250001</v>
      </c>
      <c r="K13" s="1288"/>
      <c r="L13" s="1286">
        <f t="shared" si="2"/>
        <v>2781937</v>
      </c>
      <c r="M13" s="1287">
        <f t="shared" si="3"/>
        <v>584206.77</v>
      </c>
      <c r="N13" s="1286">
        <v>229509.80250000002</v>
      </c>
      <c r="O13" s="1287">
        <f t="shared" si="4"/>
        <v>-48197.058525</v>
      </c>
      <c r="P13" s="1287">
        <f t="shared" si="5"/>
        <v>765519.51397500001</v>
      </c>
      <c r="Q13" s="1289"/>
      <c r="R13" s="1287">
        <f t="shared" si="6"/>
        <v>357339.80765000009</v>
      </c>
      <c r="S13" s="1288"/>
      <c r="T13" s="1286">
        <v>357339.80764999986</v>
      </c>
      <c r="U13" s="1288"/>
      <c r="V13" s="1286">
        <v>0</v>
      </c>
      <c r="W13" s="1288"/>
      <c r="X13" s="1287">
        <f t="shared" si="7"/>
        <v>2.3283064365386963E-10</v>
      </c>
      <c r="Y13" s="1283"/>
      <c r="Z13" s="1263" t="s">
        <v>856</v>
      </c>
      <c r="AA13" s="1284"/>
      <c r="AB13" s="1263" t="s">
        <v>392</v>
      </c>
      <c r="AC13" s="1284"/>
      <c r="AD13" s="1285">
        <v>0</v>
      </c>
      <c r="AE13" s="1284"/>
      <c r="AF13" s="1287">
        <f t="shared" si="8"/>
        <v>0</v>
      </c>
      <c r="AG13" s="1284"/>
      <c r="AH13" s="1196">
        <v>190</v>
      </c>
      <c r="AI13" s="1190"/>
    </row>
    <row r="14" spans="1:162">
      <c r="B14" s="1196">
        <v>3</v>
      </c>
      <c r="C14" s="1255" t="s">
        <v>859</v>
      </c>
      <c r="D14" s="1280" t="s">
        <v>859</v>
      </c>
      <c r="E14" s="1255" t="s">
        <v>855</v>
      </c>
      <c r="F14" s="1286">
        <v>24049917</v>
      </c>
      <c r="G14" s="1287">
        <f t="shared" si="0"/>
        <v>8417470.9499999993</v>
      </c>
      <c r="H14" s="1286">
        <v>1984118.1525000001</v>
      </c>
      <c r="I14" s="1287">
        <f t="shared" si="1"/>
        <v>-694441.35337499995</v>
      </c>
      <c r="J14" s="1287">
        <f t="shared" si="9"/>
        <v>9707147.7491250001</v>
      </c>
      <c r="K14" s="1288"/>
      <c r="L14" s="1286">
        <f t="shared" si="2"/>
        <v>24049917</v>
      </c>
      <c r="M14" s="1287">
        <f t="shared" si="3"/>
        <v>5050482.5699999994</v>
      </c>
      <c r="N14" s="1286">
        <v>1984118.1525000001</v>
      </c>
      <c r="O14" s="1287">
        <f t="shared" si="4"/>
        <v>-416664.81202499999</v>
      </c>
      <c r="P14" s="1287">
        <f t="shared" si="5"/>
        <v>6617935.9104749989</v>
      </c>
      <c r="Q14" s="1289"/>
      <c r="R14" s="1287">
        <f t="shared" si="6"/>
        <v>3089211.8386500012</v>
      </c>
      <c r="S14" s="1288"/>
      <c r="T14" s="1286">
        <v>3089211.8386500012</v>
      </c>
      <c r="U14" s="1288"/>
      <c r="V14" s="1286">
        <v>0</v>
      </c>
      <c r="W14" s="1288"/>
      <c r="X14" s="1287">
        <f t="shared" si="7"/>
        <v>0</v>
      </c>
      <c r="Y14" s="1283"/>
      <c r="Z14" s="1263" t="s">
        <v>856</v>
      </c>
      <c r="AA14" s="1284"/>
      <c r="AB14" s="1263" t="s">
        <v>392</v>
      </c>
      <c r="AC14" s="1284"/>
      <c r="AD14" s="1285">
        <v>0</v>
      </c>
      <c r="AE14" s="1284"/>
      <c r="AF14" s="1287">
        <f t="shared" si="8"/>
        <v>0</v>
      </c>
      <c r="AG14" s="1284"/>
      <c r="AH14" s="1196">
        <v>190</v>
      </c>
      <c r="AI14" s="1263"/>
    </row>
    <row r="15" spans="1:162">
      <c r="B15" s="1196">
        <v>4</v>
      </c>
      <c r="C15" s="1255" t="s">
        <v>1323</v>
      </c>
      <c r="D15" s="1280" t="s">
        <v>1323</v>
      </c>
      <c r="E15" s="1255" t="s">
        <v>855</v>
      </c>
      <c r="F15" s="1286">
        <v>17129443</v>
      </c>
      <c r="G15" s="1287">
        <f t="shared" si="0"/>
        <v>5995305.0499999998</v>
      </c>
      <c r="H15" s="1286">
        <v>1413179.0475000001</v>
      </c>
      <c r="I15" s="1287">
        <f t="shared" si="1"/>
        <v>-494612.66662500001</v>
      </c>
      <c r="J15" s="1287">
        <f t="shared" si="9"/>
        <v>6913871.4308750005</v>
      </c>
      <c r="K15" s="1288"/>
      <c r="L15" s="1286">
        <f t="shared" si="2"/>
        <v>17129443</v>
      </c>
      <c r="M15" s="1287">
        <f t="shared" si="3"/>
        <v>3597183.03</v>
      </c>
      <c r="N15" s="1286">
        <v>1413179.0475000001</v>
      </c>
      <c r="O15" s="1287">
        <f t="shared" si="4"/>
        <v>-296767.59997500002</v>
      </c>
      <c r="P15" s="1287">
        <f t="shared" si="5"/>
        <v>4713594.4775249995</v>
      </c>
      <c r="Q15" s="1289"/>
      <c r="R15" s="1287">
        <f t="shared" si="6"/>
        <v>2200276.953350001</v>
      </c>
      <c r="S15" s="1288"/>
      <c r="T15" s="1286">
        <v>2200276.953350001</v>
      </c>
      <c r="U15" s="1288"/>
      <c r="V15" s="1286">
        <v>0</v>
      </c>
      <c r="W15" s="1288"/>
      <c r="X15" s="1287">
        <f t="shared" si="7"/>
        <v>0</v>
      </c>
      <c r="Y15" s="1283"/>
      <c r="Z15" s="1263" t="s">
        <v>856</v>
      </c>
      <c r="AA15" s="1284"/>
      <c r="AB15" s="1263" t="s">
        <v>392</v>
      </c>
      <c r="AC15" s="1284"/>
      <c r="AD15" s="1285">
        <v>0</v>
      </c>
      <c r="AE15" s="1284"/>
      <c r="AF15" s="1287">
        <f t="shared" si="8"/>
        <v>0</v>
      </c>
      <c r="AG15" s="1284"/>
      <c r="AH15" s="1196">
        <v>190</v>
      </c>
      <c r="AI15" s="1263"/>
    </row>
    <row r="16" spans="1:162">
      <c r="B16" s="1196">
        <v>5</v>
      </c>
      <c r="C16" s="1255" t="s">
        <v>1324</v>
      </c>
      <c r="D16" s="1280" t="s">
        <v>1323</v>
      </c>
      <c r="E16" s="1255" t="s">
        <v>855</v>
      </c>
      <c r="F16" s="1286">
        <v>9581194</v>
      </c>
      <c r="G16" s="1287">
        <f t="shared" si="0"/>
        <v>3353417.9</v>
      </c>
      <c r="H16" s="1286">
        <v>0</v>
      </c>
      <c r="I16" s="1287">
        <f t="shared" si="1"/>
        <v>0</v>
      </c>
      <c r="J16" s="1287">
        <f t="shared" si="9"/>
        <v>3353417.9</v>
      </c>
      <c r="K16" s="1288"/>
      <c r="L16" s="1286">
        <f t="shared" si="2"/>
        <v>9581194</v>
      </c>
      <c r="M16" s="1287">
        <f t="shared" si="3"/>
        <v>2012050.74</v>
      </c>
      <c r="N16" s="1286">
        <v>0</v>
      </c>
      <c r="O16" s="1287">
        <f t="shared" si="4"/>
        <v>0</v>
      </c>
      <c r="P16" s="1287">
        <f t="shared" si="5"/>
        <v>2012050.74</v>
      </c>
      <c r="Q16" s="1289"/>
      <c r="R16" s="1287">
        <f t="shared" si="6"/>
        <v>1341367.1599999999</v>
      </c>
      <c r="S16" s="1288"/>
      <c r="T16" s="1286">
        <v>1341367.1599999999</v>
      </c>
      <c r="U16" s="1288"/>
      <c r="V16" s="1286">
        <v>0</v>
      </c>
      <c r="W16" s="1288"/>
      <c r="X16" s="1287">
        <f t="shared" si="7"/>
        <v>0</v>
      </c>
      <c r="Y16" s="1283"/>
      <c r="Z16" s="1263" t="s">
        <v>856</v>
      </c>
      <c r="AA16" s="1284"/>
      <c r="AB16" s="1263" t="s">
        <v>392</v>
      </c>
      <c r="AC16" s="1284"/>
      <c r="AD16" s="1285">
        <v>0</v>
      </c>
      <c r="AE16" s="1284"/>
      <c r="AF16" s="1287">
        <f t="shared" si="8"/>
        <v>0</v>
      </c>
      <c r="AG16" s="1284"/>
      <c r="AH16" s="1196">
        <v>190</v>
      </c>
      <c r="AI16" s="1263"/>
    </row>
    <row r="17" spans="2:35">
      <c r="B17" s="1196">
        <v>6</v>
      </c>
      <c r="C17" s="1255" t="s">
        <v>1325</v>
      </c>
      <c r="D17" s="1280" t="s">
        <v>1326</v>
      </c>
      <c r="E17" s="1255" t="s">
        <v>855</v>
      </c>
      <c r="F17" s="1286">
        <v>1094070</v>
      </c>
      <c r="G17" s="1287">
        <f t="shared" si="0"/>
        <v>382924.5</v>
      </c>
      <c r="H17" s="1286">
        <v>90260.775000000009</v>
      </c>
      <c r="I17" s="1287">
        <f t="shared" si="1"/>
        <v>-31591.271250000002</v>
      </c>
      <c r="J17" s="1287">
        <f t="shared" si="9"/>
        <v>441594.00375000003</v>
      </c>
      <c r="K17" s="1288"/>
      <c r="L17" s="1286">
        <f t="shared" si="2"/>
        <v>1094070</v>
      </c>
      <c r="M17" s="1287">
        <f t="shared" si="3"/>
        <v>229754.69999999998</v>
      </c>
      <c r="N17" s="1286">
        <v>90260.775000000009</v>
      </c>
      <c r="O17" s="1287">
        <f t="shared" si="4"/>
        <v>-18954.762750000002</v>
      </c>
      <c r="P17" s="1287">
        <f t="shared" si="5"/>
        <v>301060.71224999998</v>
      </c>
      <c r="Q17" s="1289"/>
      <c r="R17" s="1287">
        <f t="shared" si="6"/>
        <v>140533.29150000005</v>
      </c>
      <c r="S17" s="1288"/>
      <c r="T17" s="1286">
        <v>0</v>
      </c>
      <c r="U17" s="1288"/>
      <c r="V17" s="1286">
        <f>+R17</f>
        <v>140533.29150000005</v>
      </c>
      <c r="W17" s="1288"/>
      <c r="X17" s="1287">
        <f t="shared" si="7"/>
        <v>0</v>
      </c>
      <c r="Y17" s="1283"/>
      <c r="Z17" s="1263" t="s">
        <v>856</v>
      </c>
      <c r="AA17" s="1284"/>
      <c r="AB17" s="1263" t="s">
        <v>392</v>
      </c>
      <c r="AC17" s="1284"/>
      <c r="AD17" s="1285">
        <v>0</v>
      </c>
      <c r="AE17" s="1284"/>
      <c r="AF17" s="1287">
        <f t="shared" si="8"/>
        <v>0</v>
      </c>
      <c r="AG17" s="1284"/>
      <c r="AH17" s="1196">
        <v>190</v>
      </c>
      <c r="AI17" s="1263"/>
    </row>
    <row r="18" spans="2:35">
      <c r="B18" s="1196">
        <v>7</v>
      </c>
      <c r="C18" s="1255" t="s">
        <v>1325</v>
      </c>
      <c r="D18" s="1280" t="s">
        <v>1326</v>
      </c>
      <c r="E18" s="1255" t="s">
        <v>855</v>
      </c>
      <c r="F18" s="1286">
        <v>2907464</v>
      </c>
      <c r="G18" s="1287">
        <f t="shared" si="0"/>
        <v>1017612.3999999999</v>
      </c>
      <c r="H18" s="1286">
        <v>0</v>
      </c>
      <c r="I18" s="1287">
        <f t="shared" si="1"/>
        <v>0</v>
      </c>
      <c r="J18" s="1287">
        <f t="shared" si="9"/>
        <v>1017612.3999999999</v>
      </c>
      <c r="K18" s="1288"/>
      <c r="L18" s="1286">
        <f t="shared" si="2"/>
        <v>2907464</v>
      </c>
      <c r="M18" s="1287">
        <f t="shared" si="3"/>
        <v>610567.43999999994</v>
      </c>
      <c r="N18" s="1286">
        <v>0</v>
      </c>
      <c r="O18" s="1287">
        <f t="shared" si="4"/>
        <v>0</v>
      </c>
      <c r="P18" s="1287">
        <f t="shared" si="5"/>
        <v>610567.43999999994</v>
      </c>
      <c r="Q18" s="1289"/>
      <c r="R18" s="1287">
        <f t="shared" si="6"/>
        <v>407044.95999999996</v>
      </c>
      <c r="S18" s="1288"/>
      <c r="T18" s="1286">
        <v>0</v>
      </c>
      <c r="U18" s="1288"/>
      <c r="V18" s="1286">
        <f>+R18</f>
        <v>407044.95999999996</v>
      </c>
      <c r="W18" s="1288"/>
      <c r="X18" s="1287">
        <f t="shared" si="7"/>
        <v>0</v>
      </c>
      <c r="Y18" s="1283"/>
      <c r="Z18" s="1263" t="s">
        <v>856</v>
      </c>
      <c r="AA18" s="1284"/>
      <c r="AB18" s="1263" t="s">
        <v>392</v>
      </c>
      <c r="AC18" s="1284"/>
      <c r="AD18" s="1285">
        <v>0</v>
      </c>
      <c r="AE18" s="1284"/>
      <c r="AF18" s="1287">
        <f t="shared" si="8"/>
        <v>0</v>
      </c>
      <c r="AG18" s="1284"/>
      <c r="AH18" s="1196">
        <v>190</v>
      </c>
      <c r="AI18" s="1263"/>
    </row>
    <row r="19" spans="2:35">
      <c r="B19" s="1196">
        <v>8</v>
      </c>
      <c r="C19" s="1255" t="s">
        <v>860</v>
      </c>
      <c r="D19" s="1280" t="s">
        <v>1327</v>
      </c>
      <c r="E19" s="1255" t="s">
        <v>855</v>
      </c>
      <c r="F19" s="1286">
        <v>218601378.19</v>
      </c>
      <c r="G19" s="1287">
        <f t="shared" si="0"/>
        <v>76510482.36649999</v>
      </c>
      <c r="H19" s="1286">
        <v>18034613.700675</v>
      </c>
      <c r="I19" s="1287">
        <f t="shared" si="1"/>
        <v>-6312114.7952362495</v>
      </c>
      <c r="J19" s="1287">
        <f t="shared" si="9"/>
        <v>88232981.271938741</v>
      </c>
      <c r="K19" s="1288"/>
      <c r="L19" s="1286">
        <f t="shared" si="2"/>
        <v>218601378.19</v>
      </c>
      <c r="M19" s="1287">
        <f t="shared" si="3"/>
        <v>45906289.4199</v>
      </c>
      <c r="N19" s="1286">
        <v>18034613.700675</v>
      </c>
      <c r="O19" s="1287">
        <f t="shared" si="4"/>
        <v>-3787268.87714175</v>
      </c>
      <c r="P19" s="1287">
        <f t="shared" si="5"/>
        <v>60153634.243433252</v>
      </c>
      <c r="Q19" s="1289"/>
      <c r="R19" s="1287">
        <f t="shared" si="6"/>
        <v>28079347.028505489</v>
      </c>
      <c r="S19" s="1288"/>
      <c r="T19" s="1286">
        <v>0</v>
      </c>
      <c r="U19" s="1288"/>
      <c r="V19" s="1286">
        <v>0</v>
      </c>
      <c r="W19" s="1288"/>
      <c r="X19" s="1287">
        <f t="shared" si="7"/>
        <v>28079347.028505489</v>
      </c>
      <c r="Y19" s="1283"/>
      <c r="Z19" s="1263" t="s">
        <v>856</v>
      </c>
      <c r="AA19" s="1284"/>
      <c r="AB19" s="1263" t="s">
        <v>393</v>
      </c>
      <c r="AC19" s="1284"/>
      <c r="AD19" s="1285">
        <v>0</v>
      </c>
      <c r="AE19" s="1284"/>
      <c r="AF19" s="1287">
        <f t="shared" si="8"/>
        <v>0</v>
      </c>
      <c r="AG19" s="1284"/>
      <c r="AH19" s="1196">
        <v>190</v>
      </c>
      <c r="AI19" s="1190"/>
    </row>
    <row r="20" spans="2:35">
      <c r="B20" s="1196">
        <v>9</v>
      </c>
      <c r="C20" s="1255" t="s">
        <v>1328</v>
      </c>
      <c r="D20" s="1280" t="s">
        <v>351</v>
      </c>
      <c r="E20" s="1255" t="s">
        <v>855</v>
      </c>
      <c r="F20" s="1286">
        <v>450672</v>
      </c>
      <c r="G20" s="1287">
        <f t="shared" si="0"/>
        <v>157735.19999999998</v>
      </c>
      <c r="H20" s="1286">
        <v>37180.44</v>
      </c>
      <c r="I20" s="1287">
        <f t="shared" si="1"/>
        <v>-13013.154</v>
      </c>
      <c r="J20" s="1287">
        <f t="shared" si="9"/>
        <v>181902.48599999998</v>
      </c>
      <c r="K20" s="1288"/>
      <c r="L20" s="1286">
        <f t="shared" si="2"/>
        <v>450672</v>
      </c>
      <c r="M20" s="1287">
        <f t="shared" si="3"/>
        <v>94641.12</v>
      </c>
      <c r="N20" s="1286">
        <v>37180.44</v>
      </c>
      <c r="O20" s="1287">
        <f t="shared" si="4"/>
        <v>-7807.8924000000006</v>
      </c>
      <c r="P20" s="1287">
        <f t="shared" si="5"/>
        <v>124013.6676</v>
      </c>
      <c r="Q20" s="1289"/>
      <c r="R20" s="1287">
        <f t="shared" si="6"/>
        <v>57888.818399999975</v>
      </c>
      <c r="S20" s="1288"/>
      <c r="T20" s="1286">
        <v>0</v>
      </c>
      <c r="U20" s="1288"/>
      <c r="V20" s="1286">
        <v>0</v>
      </c>
      <c r="W20" s="1288"/>
      <c r="X20" s="1287">
        <f t="shared" si="7"/>
        <v>57888.818399999975</v>
      </c>
      <c r="Y20" s="1283"/>
      <c r="Z20" s="1263" t="s">
        <v>1329</v>
      </c>
      <c r="AA20" s="1284"/>
      <c r="AB20" s="1263" t="s">
        <v>393</v>
      </c>
      <c r="AC20" s="1284"/>
      <c r="AD20" s="1285">
        <v>0.11985</v>
      </c>
      <c r="AE20" s="1284"/>
      <c r="AF20" s="1287">
        <f t="shared" si="8"/>
        <v>6937.9748852399971</v>
      </c>
      <c r="AG20" s="1284"/>
      <c r="AH20" s="1196">
        <v>190</v>
      </c>
      <c r="AI20" s="1190"/>
    </row>
    <row r="21" spans="2:35">
      <c r="B21" s="1196">
        <v>10</v>
      </c>
      <c r="C21" s="1255" t="s">
        <v>1330</v>
      </c>
      <c r="D21" s="1280" t="s">
        <v>1331</v>
      </c>
      <c r="E21" s="1255" t="s">
        <v>855</v>
      </c>
      <c r="F21" s="1286">
        <v>2817764</v>
      </c>
      <c r="G21" s="1287">
        <f t="shared" si="0"/>
        <v>986217.39999999991</v>
      </c>
      <c r="H21" s="1286">
        <v>232465.53</v>
      </c>
      <c r="I21" s="1287">
        <f t="shared" si="1"/>
        <v>-81362.935499999992</v>
      </c>
      <c r="J21" s="1287">
        <f t="shared" si="9"/>
        <v>1137319.9944999998</v>
      </c>
      <c r="K21" s="1288"/>
      <c r="L21" s="1286">
        <f t="shared" si="2"/>
        <v>2817764</v>
      </c>
      <c r="M21" s="1287">
        <f t="shared" si="3"/>
        <v>591730.43999999994</v>
      </c>
      <c r="N21" s="1286">
        <v>232465.53</v>
      </c>
      <c r="O21" s="1287">
        <f t="shared" si="4"/>
        <v>-48817.761299999998</v>
      </c>
      <c r="P21" s="1287">
        <f t="shared" si="5"/>
        <v>775378.20869999996</v>
      </c>
      <c r="Q21" s="1289"/>
      <c r="R21" s="1287">
        <f t="shared" si="6"/>
        <v>361941.78579999984</v>
      </c>
      <c r="S21" s="1288"/>
      <c r="T21" s="1286"/>
      <c r="U21" s="1288"/>
      <c r="V21" s="1286">
        <v>0</v>
      </c>
      <c r="W21" s="1288"/>
      <c r="X21" s="1287">
        <f t="shared" si="7"/>
        <v>361941.78579999984</v>
      </c>
      <c r="Y21" s="1283"/>
      <c r="Z21" s="1263" t="s">
        <v>856</v>
      </c>
      <c r="AA21" s="1284"/>
      <c r="AB21" s="1263" t="s">
        <v>393</v>
      </c>
      <c r="AC21" s="1284"/>
      <c r="AD21" s="1285">
        <v>0</v>
      </c>
      <c r="AE21" s="1284"/>
      <c r="AF21" s="1287">
        <f t="shared" si="8"/>
        <v>0</v>
      </c>
      <c r="AG21" s="1284"/>
      <c r="AH21" s="1196">
        <v>190</v>
      </c>
      <c r="AI21" s="1190"/>
    </row>
    <row r="22" spans="2:35">
      <c r="B22" s="1196">
        <v>11</v>
      </c>
      <c r="C22" s="1255" t="s">
        <v>1332</v>
      </c>
      <c r="D22" s="1280" t="s">
        <v>1332</v>
      </c>
      <c r="E22" s="1255" t="s">
        <v>855</v>
      </c>
      <c r="F22" s="1286">
        <v>6295799</v>
      </c>
      <c r="G22" s="1287">
        <f t="shared" si="0"/>
        <v>2203529.65</v>
      </c>
      <c r="H22" s="1286">
        <v>519403.41750000004</v>
      </c>
      <c r="I22" s="1287">
        <f t="shared" si="1"/>
        <v>-181791.19612500002</v>
      </c>
      <c r="J22" s="1287">
        <f t="shared" si="9"/>
        <v>2541141.8713750001</v>
      </c>
      <c r="K22" s="1288"/>
      <c r="L22" s="1286">
        <f t="shared" si="2"/>
        <v>6295799</v>
      </c>
      <c r="M22" s="1287">
        <f t="shared" si="3"/>
        <v>1322117.79</v>
      </c>
      <c r="N22" s="1286">
        <v>519403.41750000004</v>
      </c>
      <c r="O22" s="1287">
        <f t="shared" si="4"/>
        <v>-109074.71767500001</v>
      </c>
      <c r="P22" s="1287">
        <f t="shared" si="5"/>
        <v>1732446.4898250001</v>
      </c>
      <c r="Q22" s="1289"/>
      <c r="R22" s="1287">
        <f t="shared" si="6"/>
        <v>808695.38155000005</v>
      </c>
      <c r="S22" s="1288"/>
      <c r="T22" s="1286">
        <v>808695</v>
      </c>
      <c r="U22" s="1288"/>
      <c r="V22" s="1286">
        <v>0</v>
      </c>
      <c r="W22" s="1288"/>
      <c r="X22" s="1287">
        <f t="shared" si="7"/>
        <v>0.38155000004917383</v>
      </c>
      <c r="Y22" s="1283"/>
      <c r="Z22" s="1263" t="s">
        <v>856</v>
      </c>
      <c r="AA22" s="1284"/>
      <c r="AB22" s="1263" t="s">
        <v>392</v>
      </c>
      <c r="AC22" s="1284"/>
      <c r="AD22" s="1285">
        <v>0</v>
      </c>
      <c r="AE22" s="1284"/>
      <c r="AF22" s="1287">
        <f t="shared" si="8"/>
        <v>0</v>
      </c>
      <c r="AG22" s="1284"/>
      <c r="AH22" s="1196">
        <v>190</v>
      </c>
      <c r="AI22" s="1263"/>
    </row>
    <row r="23" spans="2:35">
      <c r="B23" s="1196">
        <v>12</v>
      </c>
      <c r="C23" s="1255" t="s">
        <v>1333</v>
      </c>
      <c r="D23" s="1280" t="s">
        <v>1333</v>
      </c>
      <c r="E23" s="1255" t="s">
        <v>855</v>
      </c>
      <c r="F23" s="1286">
        <v>-94660</v>
      </c>
      <c r="G23" s="1287">
        <f t="shared" si="0"/>
        <v>-33131</v>
      </c>
      <c r="H23" s="1286">
        <v>-7809.4500000000007</v>
      </c>
      <c r="I23" s="1287">
        <f t="shared" si="1"/>
        <v>2733.3074999999999</v>
      </c>
      <c r="J23" s="1287">
        <f t="shared" si="9"/>
        <v>-38207.142500000002</v>
      </c>
      <c r="K23" s="1288"/>
      <c r="L23" s="1286">
        <f t="shared" si="2"/>
        <v>-94660</v>
      </c>
      <c r="M23" s="1287">
        <f t="shared" si="3"/>
        <v>-19878.599999999999</v>
      </c>
      <c r="N23" s="1286">
        <v>-7809.4500000000007</v>
      </c>
      <c r="O23" s="1287">
        <f t="shared" si="4"/>
        <v>1639.9845</v>
      </c>
      <c r="P23" s="1287">
        <f t="shared" si="5"/>
        <v>-26048.065500000001</v>
      </c>
      <c r="Q23" s="1289"/>
      <c r="R23" s="1287">
        <f t="shared" si="6"/>
        <v>-12159.077000000001</v>
      </c>
      <c r="S23" s="1288"/>
      <c r="T23" s="1286">
        <v>-12159</v>
      </c>
      <c r="U23" s="1288"/>
      <c r="V23" s="1286">
        <v>0</v>
      </c>
      <c r="W23" s="1288"/>
      <c r="X23" s="1287">
        <f t="shared" si="7"/>
        <v>-7.7000000001135049E-2</v>
      </c>
      <c r="Y23" s="1283"/>
      <c r="Z23" s="1263" t="s">
        <v>856</v>
      </c>
      <c r="AA23" s="1284"/>
      <c r="AB23" s="1263" t="s">
        <v>392</v>
      </c>
      <c r="AC23" s="1284"/>
      <c r="AD23" s="1285">
        <v>0</v>
      </c>
      <c r="AE23" s="1284"/>
      <c r="AF23" s="1287">
        <f t="shared" si="8"/>
        <v>0</v>
      </c>
      <c r="AG23" s="1284"/>
      <c r="AH23" s="1196">
        <v>190</v>
      </c>
      <c r="AI23" s="1263"/>
    </row>
    <row r="24" spans="2:35">
      <c r="B24" s="1196">
        <v>13</v>
      </c>
      <c r="C24" s="1255" t="s">
        <v>1334</v>
      </c>
      <c r="D24" s="1280" t="s">
        <v>351</v>
      </c>
      <c r="E24" s="1255" t="s">
        <v>855</v>
      </c>
      <c r="F24" s="1286">
        <v>5445487</v>
      </c>
      <c r="G24" s="1287">
        <f t="shared" si="0"/>
        <v>1905920.45</v>
      </c>
      <c r="H24" s="1286">
        <v>449252.67750000005</v>
      </c>
      <c r="I24" s="1287">
        <f t="shared" si="1"/>
        <v>-157238.437125</v>
      </c>
      <c r="J24" s="1287">
        <f t="shared" si="9"/>
        <v>2197934.6903750002</v>
      </c>
      <c r="K24" s="1288"/>
      <c r="L24" s="1286">
        <f t="shared" si="2"/>
        <v>5445487</v>
      </c>
      <c r="M24" s="1287">
        <f t="shared" si="3"/>
        <v>1143552.27</v>
      </c>
      <c r="N24" s="1286">
        <v>449252.67750000005</v>
      </c>
      <c r="O24" s="1287">
        <f t="shared" si="4"/>
        <v>-94343.062275000004</v>
      </c>
      <c r="P24" s="1287">
        <f t="shared" si="5"/>
        <v>1498461.8852250001</v>
      </c>
      <c r="Q24" s="1289"/>
      <c r="R24" s="1287">
        <f t="shared" si="6"/>
        <v>699472.80515000015</v>
      </c>
      <c r="S24" s="1288"/>
      <c r="T24" s="1286">
        <v>699473</v>
      </c>
      <c r="U24" s="1288"/>
      <c r="V24" s="1286">
        <v>0</v>
      </c>
      <c r="W24" s="1288"/>
      <c r="X24" s="1287">
        <f t="shared" si="7"/>
        <v>-0.19484999985434115</v>
      </c>
      <c r="Y24" s="1283"/>
      <c r="Z24" s="1263" t="s">
        <v>856</v>
      </c>
      <c r="AA24" s="1284"/>
      <c r="AB24" s="1263" t="s">
        <v>392</v>
      </c>
      <c r="AC24" s="1284"/>
      <c r="AD24" s="1285">
        <v>0</v>
      </c>
      <c r="AE24" s="1284"/>
      <c r="AF24" s="1287">
        <f t="shared" si="8"/>
        <v>0</v>
      </c>
      <c r="AG24" s="1284"/>
      <c r="AH24" s="1196">
        <v>190</v>
      </c>
      <c r="AI24" s="1190"/>
    </row>
    <row r="25" spans="2:35">
      <c r="B25" s="1196">
        <v>14</v>
      </c>
      <c r="C25" s="1255" t="s">
        <v>1335</v>
      </c>
      <c r="D25" s="1280" t="s">
        <v>351</v>
      </c>
      <c r="E25" s="1255" t="s">
        <v>855</v>
      </c>
      <c r="F25" s="1286">
        <v>2800967</v>
      </c>
      <c r="G25" s="1287">
        <f t="shared" si="0"/>
        <v>980338.45</v>
      </c>
      <c r="H25" s="1286">
        <v>231079.7775</v>
      </c>
      <c r="I25" s="1287">
        <f t="shared" si="1"/>
        <v>-80877.922124999997</v>
      </c>
      <c r="J25" s="1287">
        <f t="shared" si="9"/>
        <v>1130540.305375</v>
      </c>
      <c r="K25" s="1288"/>
      <c r="L25" s="1286">
        <f t="shared" si="2"/>
        <v>2800967</v>
      </c>
      <c r="M25" s="1287">
        <f t="shared" si="3"/>
        <v>588203.06999999995</v>
      </c>
      <c r="N25" s="1286">
        <v>231079.7775</v>
      </c>
      <c r="O25" s="1287">
        <f t="shared" si="4"/>
        <v>-48526.753274999995</v>
      </c>
      <c r="P25" s="1287">
        <f t="shared" si="5"/>
        <v>770756.09422499989</v>
      </c>
      <c r="Q25" s="1289"/>
      <c r="R25" s="1287">
        <f t="shared" si="6"/>
        <v>359784.2111500001</v>
      </c>
      <c r="S25" s="1288"/>
      <c r="T25" s="1286">
        <v>359784</v>
      </c>
      <c r="U25" s="1288"/>
      <c r="V25" s="1286">
        <v>0</v>
      </c>
      <c r="W25" s="1288"/>
      <c r="X25" s="1287">
        <f t="shared" si="7"/>
        <v>0.21115000010468066</v>
      </c>
      <c r="Y25" s="1283"/>
      <c r="Z25" s="1263" t="s">
        <v>856</v>
      </c>
      <c r="AA25" s="1284"/>
      <c r="AB25" s="1263" t="s">
        <v>392</v>
      </c>
      <c r="AC25" s="1284"/>
      <c r="AD25" s="1285">
        <v>0</v>
      </c>
      <c r="AE25" s="1284"/>
      <c r="AF25" s="1287">
        <f t="shared" si="8"/>
        <v>0</v>
      </c>
      <c r="AG25" s="1284"/>
      <c r="AH25" s="1196">
        <v>190</v>
      </c>
      <c r="AI25" s="1190"/>
    </row>
    <row r="26" spans="2:35">
      <c r="B26" s="1196">
        <v>15</v>
      </c>
      <c r="C26" s="1255" t="s">
        <v>1336</v>
      </c>
      <c r="D26" s="1280" t="s">
        <v>351</v>
      </c>
      <c r="E26" s="1255" t="s">
        <v>855</v>
      </c>
      <c r="F26" s="1286">
        <v>1883262</v>
      </c>
      <c r="G26" s="1287">
        <f t="shared" si="0"/>
        <v>659141.69999999995</v>
      </c>
      <c r="H26" s="1286">
        <v>155369.11500000002</v>
      </c>
      <c r="I26" s="1287">
        <f t="shared" si="1"/>
        <v>-54379.190250000007</v>
      </c>
      <c r="J26" s="1287">
        <f t="shared" si="9"/>
        <v>760131.62474999996</v>
      </c>
      <c r="K26" s="1288"/>
      <c r="L26" s="1286">
        <f t="shared" si="2"/>
        <v>1883262</v>
      </c>
      <c r="M26" s="1287">
        <f t="shared" si="3"/>
        <v>395485.01999999996</v>
      </c>
      <c r="N26" s="1286">
        <v>155369.11500000002</v>
      </c>
      <c r="O26" s="1287">
        <f t="shared" si="4"/>
        <v>-32627.514150000003</v>
      </c>
      <c r="P26" s="1287">
        <f t="shared" si="5"/>
        <v>518226.62084999995</v>
      </c>
      <c r="Q26" s="1289"/>
      <c r="R26" s="1287">
        <f t="shared" si="6"/>
        <v>241905.00390000001</v>
      </c>
      <c r="S26" s="1288"/>
      <c r="T26" s="1286">
        <v>241905</v>
      </c>
      <c r="U26" s="1288"/>
      <c r="V26" s="1286">
        <v>0</v>
      </c>
      <c r="W26" s="1288"/>
      <c r="X26" s="1287">
        <f t="shared" si="7"/>
        <v>3.9000000106170774E-3</v>
      </c>
      <c r="Y26" s="1283"/>
      <c r="Z26" s="1263" t="s">
        <v>856</v>
      </c>
      <c r="AA26" s="1284"/>
      <c r="AB26" s="1263" t="s">
        <v>392</v>
      </c>
      <c r="AC26" s="1284"/>
      <c r="AD26" s="1285">
        <v>0</v>
      </c>
      <c r="AE26" s="1284"/>
      <c r="AF26" s="1287">
        <f t="shared" si="8"/>
        <v>0</v>
      </c>
      <c r="AG26" s="1284"/>
      <c r="AH26" s="1196">
        <v>190</v>
      </c>
      <c r="AI26" s="1190"/>
    </row>
    <row r="27" spans="2:35">
      <c r="B27" s="1196">
        <v>16</v>
      </c>
      <c r="C27" s="1255" t="s">
        <v>1337</v>
      </c>
      <c r="D27" s="1280" t="s">
        <v>351</v>
      </c>
      <c r="E27" s="1255" t="s">
        <v>855</v>
      </c>
      <c r="F27" s="1286">
        <v>506414</v>
      </c>
      <c r="G27" s="1287">
        <f t="shared" si="0"/>
        <v>177244.9</v>
      </c>
      <c r="H27" s="1286">
        <v>41779.154999999999</v>
      </c>
      <c r="I27" s="1287">
        <f t="shared" si="1"/>
        <v>-14622.704249999999</v>
      </c>
      <c r="J27" s="1287">
        <f t="shared" si="9"/>
        <v>204401.35074999998</v>
      </c>
      <c r="K27" s="1288"/>
      <c r="L27" s="1286">
        <f t="shared" si="2"/>
        <v>506414</v>
      </c>
      <c r="M27" s="1287">
        <f t="shared" si="3"/>
        <v>106346.94</v>
      </c>
      <c r="N27" s="1286">
        <v>41779.154999999999</v>
      </c>
      <c r="O27" s="1287">
        <f t="shared" si="4"/>
        <v>-8773.62255</v>
      </c>
      <c r="P27" s="1287">
        <f t="shared" si="5"/>
        <v>139352.47245</v>
      </c>
      <c r="Q27" s="1289"/>
      <c r="R27" s="1287">
        <f t="shared" si="6"/>
        <v>65048.878299999982</v>
      </c>
      <c r="S27" s="1288"/>
      <c r="T27" s="1286">
        <v>65049</v>
      </c>
      <c r="U27" s="1288"/>
      <c r="V27" s="1286">
        <v>0</v>
      </c>
      <c r="W27" s="1288"/>
      <c r="X27" s="1287">
        <f t="shared" si="7"/>
        <v>-0.12170000001788139</v>
      </c>
      <c r="Y27" s="1283"/>
      <c r="Z27" s="1263" t="s">
        <v>856</v>
      </c>
      <c r="AA27" s="1284"/>
      <c r="AB27" s="1263" t="s">
        <v>392</v>
      </c>
      <c r="AC27" s="1284"/>
      <c r="AD27" s="1285">
        <v>0</v>
      </c>
      <c r="AE27" s="1284"/>
      <c r="AF27" s="1287">
        <f t="shared" si="8"/>
        <v>0</v>
      </c>
      <c r="AG27" s="1284"/>
      <c r="AH27" s="1196">
        <v>190</v>
      </c>
      <c r="AI27" s="1190"/>
    </row>
    <row r="28" spans="2:35">
      <c r="B28" s="1196">
        <v>17</v>
      </c>
      <c r="C28" s="1255" t="s">
        <v>1338</v>
      </c>
      <c r="D28" s="1280" t="s">
        <v>1295</v>
      </c>
      <c r="E28" s="1255" t="s">
        <v>855</v>
      </c>
      <c r="F28" s="1286">
        <v>5607201</v>
      </c>
      <c r="G28" s="1287">
        <f t="shared" si="0"/>
        <v>1962520.3499999999</v>
      </c>
      <c r="H28" s="1286">
        <v>462594.08250000002</v>
      </c>
      <c r="I28" s="1287">
        <f t="shared" si="1"/>
        <v>-161907.92887499998</v>
      </c>
      <c r="J28" s="1287">
        <f t="shared" si="9"/>
        <v>2263206.5036249999</v>
      </c>
      <c r="K28" s="1288"/>
      <c r="L28" s="1286">
        <f t="shared" si="2"/>
        <v>5607201</v>
      </c>
      <c r="M28" s="1287">
        <f t="shared" si="3"/>
        <v>1177512.21</v>
      </c>
      <c r="N28" s="1286">
        <v>462594.08250000002</v>
      </c>
      <c r="O28" s="1287">
        <f t="shared" si="4"/>
        <v>-97144.757324999999</v>
      </c>
      <c r="P28" s="1287">
        <f t="shared" si="5"/>
        <v>1542961.5351750001</v>
      </c>
      <c r="Q28" s="1289"/>
      <c r="R28" s="1287">
        <f t="shared" si="6"/>
        <v>720244.96844999981</v>
      </c>
      <c r="S28" s="1288"/>
      <c r="T28" s="1286">
        <v>720245</v>
      </c>
      <c r="U28" s="1288"/>
      <c r="V28" s="1286">
        <v>0</v>
      </c>
      <c r="W28" s="1288"/>
      <c r="X28" s="1287">
        <f t="shared" si="7"/>
        <v>-3.1550000188872218E-2</v>
      </c>
      <c r="Y28" s="1283"/>
      <c r="Z28" s="1263" t="s">
        <v>856</v>
      </c>
      <c r="AA28" s="1284"/>
      <c r="AB28" s="1263" t="s">
        <v>392</v>
      </c>
      <c r="AC28" s="1284"/>
      <c r="AD28" s="1285">
        <v>0</v>
      </c>
      <c r="AE28" s="1284"/>
      <c r="AF28" s="1287">
        <f t="shared" si="8"/>
        <v>0</v>
      </c>
      <c r="AG28" s="1284"/>
      <c r="AH28" s="1196">
        <v>190</v>
      </c>
      <c r="AI28" s="1190"/>
    </row>
    <row r="29" spans="2:35">
      <c r="B29" s="1196">
        <v>18</v>
      </c>
      <c r="C29" s="1255" t="s">
        <v>1339</v>
      </c>
      <c r="D29" s="1280" t="s">
        <v>1298</v>
      </c>
      <c r="E29" s="1255" t="s">
        <v>855</v>
      </c>
      <c r="F29" s="1286">
        <v>4098883</v>
      </c>
      <c r="G29" s="1287">
        <f t="shared" si="0"/>
        <v>1434609.0499999998</v>
      </c>
      <c r="H29" s="1286">
        <v>338157.84750000003</v>
      </c>
      <c r="I29" s="1287">
        <f t="shared" si="1"/>
        <v>-118355.246625</v>
      </c>
      <c r="J29" s="1287">
        <f t="shared" si="9"/>
        <v>1654411.6508749998</v>
      </c>
      <c r="K29" s="1288"/>
      <c r="L29" s="1286">
        <f t="shared" si="2"/>
        <v>4098883</v>
      </c>
      <c r="M29" s="1287">
        <f t="shared" si="3"/>
        <v>860765.42999999993</v>
      </c>
      <c r="N29" s="1286">
        <v>338157.84750000003</v>
      </c>
      <c r="O29" s="1287">
        <f t="shared" si="4"/>
        <v>-71013.147975</v>
      </c>
      <c r="P29" s="1287">
        <f t="shared" si="5"/>
        <v>1127910.129525</v>
      </c>
      <c r="Q29" s="1289"/>
      <c r="R29" s="1287">
        <f t="shared" si="6"/>
        <v>526501.52134999982</v>
      </c>
      <c r="S29" s="1288"/>
      <c r="T29" s="1286">
        <v>526502</v>
      </c>
      <c r="U29" s="1288"/>
      <c r="V29" s="1286">
        <v>0</v>
      </c>
      <c r="W29" s="1288"/>
      <c r="X29" s="1287">
        <f t="shared" si="7"/>
        <v>-0.47865000017918646</v>
      </c>
      <c r="Y29" s="1283"/>
      <c r="Z29" s="1263" t="s">
        <v>856</v>
      </c>
      <c r="AA29" s="1284"/>
      <c r="AB29" s="1263" t="s">
        <v>392</v>
      </c>
      <c r="AC29" s="1284"/>
      <c r="AD29" s="1285">
        <v>0</v>
      </c>
      <c r="AE29" s="1284"/>
      <c r="AF29" s="1287">
        <f t="shared" si="8"/>
        <v>0</v>
      </c>
      <c r="AG29" s="1284"/>
      <c r="AH29" s="1196">
        <v>190</v>
      </c>
      <c r="AI29" s="1190"/>
    </row>
    <row r="30" spans="2:35">
      <c r="B30" s="1196">
        <v>19</v>
      </c>
      <c r="C30" s="1255" t="s">
        <v>1340</v>
      </c>
      <c r="D30" s="1280" t="s">
        <v>1340</v>
      </c>
      <c r="E30" s="1255" t="s">
        <v>855</v>
      </c>
      <c r="F30" s="1286">
        <v>-324361711.55000001</v>
      </c>
      <c r="G30" s="1287">
        <f t="shared" si="0"/>
        <v>-113526599.0425</v>
      </c>
      <c r="H30" s="1286">
        <v>-26776425.352875002</v>
      </c>
      <c r="I30" s="1287">
        <f t="shared" si="1"/>
        <v>9371748.8735062499</v>
      </c>
      <c r="J30" s="1287">
        <f t="shared" si="9"/>
        <v>-130931275.52186877</v>
      </c>
      <c r="K30" s="1288"/>
      <c r="L30" s="1286">
        <f t="shared" si="2"/>
        <v>-324361711.55000001</v>
      </c>
      <c r="M30" s="1287">
        <f t="shared" si="3"/>
        <v>-68115959.425500005</v>
      </c>
      <c r="N30" s="1286">
        <v>-26773486.389583863</v>
      </c>
      <c r="O30" s="1287">
        <f t="shared" si="4"/>
        <v>5622432.1418126114</v>
      </c>
      <c r="P30" s="1287">
        <f t="shared" si="5"/>
        <v>-89267013.673271269</v>
      </c>
      <c r="Q30" s="1289"/>
      <c r="R30" s="1287">
        <f t="shared" si="6"/>
        <v>-41664261.848597497</v>
      </c>
      <c r="S30" s="1288"/>
      <c r="T30" s="1286">
        <v>0</v>
      </c>
      <c r="U30" s="1288"/>
      <c r="V30" s="1286">
        <v>0</v>
      </c>
      <c r="W30" s="1288"/>
      <c r="X30" s="1287">
        <f t="shared" si="7"/>
        <v>-41664261.848597497</v>
      </c>
      <c r="Y30" s="1283"/>
      <c r="Z30" s="1263" t="s">
        <v>1329</v>
      </c>
      <c r="AA30" s="1284"/>
      <c r="AB30" s="1263" t="s">
        <v>393</v>
      </c>
      <c r="AC30" s="1284"/>
      <c r="AD30" s="1285">
        <v>0.11985</v>
      </c>
      <c r="AE30" s="1284"/>
      <c r="AF30" s="1287">
        <f t="shared" si="8"/>
        <v>-4993461.7825544095</v>
      </c>
      <c r="AG30" s="1284"/>
      <c r="AH30" s="1196">
        <v>190</v>
      </c>
      <c r="AI30" s="1263"/>
    </row>
    <row r="31" spans="2:35">
      <c r="B31" s="1196">
        <v>20</v>
      </c>
      <c r="C31" s="1255" t="s">
        <v>1341</v>
      </c>
      <c r="D31" s="1280" t="s">
        <v>1342</v>
      </c>
      <c r="E31" s="1255" t="s">
        <v>855</v>
      </c>
      <c r="F31" s="1286">
        <v>56091265</v>
      </c>
      <c r="G31" s="1287">
        <f t="shared" si="0"/>
        <v>19631942.75</v>
      </c>
      <c r="H31" s="1286">
        <v>4627529.3624999998</v>
      </c>
      <c r="I31" s="1287">
        <f t="shared" si="1"/>
        <v>-1619635.2768749997</v>
      </c>
      <c r="J31" s="1287">
        <f t="shared" si="9"/>
        <v>22639836.835625</v>
      </c>
      <c r="K31" s="1288"/>
      <c r="L31" s="1286">
        <f t="shared" si="2"/>
        <v>56091265</v>
      </c>
      <c r="M31" s="1287">
        <f t="shared" si="3"/>
        <v>11779165.65</v>
      </c>
      <c r="N31" s="1286">
        <v>4627529.3624999998</v>
      </c>
      <c r="O31" s="1287">
        <f t="shared" si="4"/>
        <v>-971781.16612499987</v>
      </c>
      <c r="P31" s="1287">
        <f t="shared" si="5"/>
        <v>15434913.846375</v>
      </c>
      <c r="Q31" s="1289"/>
      <c r="R31" s="1287">
        <f t="shared" si="6"/>
        <v>7204922.9892500006</v>
      </c>
      <c r="S31" s="1288"/>
      <c r="T31" s="1286">
        <v>7204922.9892500006</v>
      </c>
      <c r="U31" s="1288"/>
      <c r="V31" s="1286">
        <v>0</v>
      </c>
      <c r="W31" s="1288"/>
      <c r="X31" s="1287">
        <f t="shared" si="7"/>
        <v>0</v>
      </c>
      <c r="Y31" s="1283"/>
      <c r="Z31" s="1263" t="s">
        <v>856</v>
      </c>
      <c r="AA31" s="1284"/>
      <c r="AB31" s="1263" t="s">
        <v>392</v>
      </c>
      <c r="AC31" s="1284"/>
      <c r="AD31" s="1285">
        <v>0</v>
      </c>
      <c r="AE31" s="1284"/>
      <c r="AF31" s="1287">
        <f t="shared" si="8"/>
        <v>0</v>
      </c>
      <c r="AG31" s="1284"/>
      <c r="AH31" s="1196">
        <v>190</v>
      </c>
      <c r="AI31" s="1263"/>
    </row>
    <row r="32" spans="2:35">
      <c r="B32" s="1196">
        <v>21</v>
      </c>
      <c r="C32" s="1255" t="s">
        <v>861</v>
      </c>
      <c r="D32" s="1280" t="s">
        <v>1317</v>
      </c>
      <c r="E32" s="1255" t="s">
        <v>855</v>
      </c>
      <c r="F32" s="1286">
        <v>0</v>
      </c>
      <c r="G32" s="1287">
        <f t="shared" si="0"/>
        <v>0</v>
      </c>
      <c r="H32" s="1286">
        <v>16027430.6775</v>
      </c>
      <c r="I32" s="1287">
        <f t="shared" si="1"/>
        <v>-5609600.737125</v>
      </c>
      <c r="J32" s="1287">
        <f t="shared" si="9"/>
        <v>10417829.940375</v>
      </c>
      <c r="K32" s="1288"/>
      <c r="L32" s="1286">
        <f t="shared" si="2"/>
        <v>0</v>
      </c>
      <c r="M32" s="1287">
        <f t="shared" si="3"/>
        <v>0</v>
      </c>
      <c r="N32" s="1286">
        <v>16027430.6775</v>
      </c>
      <c r="O32" s="1287">
        <f t="shared" si="4"/>
        <v>-3365760.4422749998</v>
      </c>
      <c r="P32" s="1287">
        <f t="shared" si="5"/>
        <v>12661670.235224999</v>
      </c>
      <c r="Q32" s="1289"/>
      <c r="R32" s="1287">
        <f t="shared" si="6"/>
        <v>-2243840.2948499992</v>
      </c>
      <c r="S32" s="1288"/>
      <c r="T32" s="1286">
        <v>-293020</v>
      </c>
      <c r="U32" s="1288"/>
      <c r="V32" s="1286">
        <v>0</v>
      </c>
      <c r="W32" s="1288"/>
      <c r="X32" s="1287">
        <f t="shared" si="7"/>
        <v>-1950820.2948499992</v>
      </c>
      <c r="Y32" s="1283"/>
      <c r="Z32" s="1263" t="s">
        <v>1329</v>
      </c>
      <c r="AA32" s="1284"/>
      <c r="AB32" s="1263" t="s">
        <v>393</v>
      </c>
      <c r="AC32" s="1284"/>
      <c r="AD32" s="1285">
        <v>0.11985</v>
      </c>
      <c r="AE32" s="1284"/>
      <c r="AF32" s="1287">
        <f t="shared" si="8"/>
        <v>-233805.8123377724</v>
      </c>
      <c r="AG32" s="1284"/>
      <c r="AH32" s="1196">
        <v>190</v>
      </c>
      <c r="AI32" s="1263"/>
    </row>
    <row r="33" spans="2:35">
      <c r="B33" s="1196">
        <v>22</v>
      </c>
      <c r="C33" s="1255" t="s">
        <v>1343</v>
      </c>
      <c r="D33" s="1280" t="s">
        <v>1326</v>
      </c>
      <c r="E33" s="1255" t="s">
        <v>855</v>
      </c>
      <c r="F33" s="1286">
        <v>0</v>
      </c>
      <c r="G33" s="1287">
        <f t="shared" si="0"/>
        <v>0</v>
      </c>
      <c r="H33" s="1286"/>
      <c r="I33" s="1287">
        <f t="shared" si="1"/>
        <v>0</v>
      </c>
      <c r="J33" s="1287">
        <v>768438</v>
      </c>
      <c r="K33" s="1288"/>
      <c r="L33" s="1286">
        <f t="shared" si="2"/>
        <v>0</v>
      </c>
      <c r="M33" s="1287">
        <f t="shared" si="3"/>
        <v>0</v>
      </c>
      <c r="N33" s="1286">
        <v>0</v>
      </c>
      <c r="O33" s="1287">
        <f t="shared" si="4"/>
        <v>0</v>
      </c>
      <c r="P33" s="1287">
        <f>+J33</f>
        <v>768438</v>
      </c>
      <c r="Q33" s="1289"/>
      <c r="R33" s="1287">
        <f t="shared" si="6"/>
        <v>0</v>
      </c>
      <c r="S33" s="1288"/>
      <c r="T33" s="1286">
        <v>0</v>
      </c>
      <c r="U33" s="1288"/>
      <c r="V33" s="1286">
        <v>0</v>
      </c>
      <c r="W33" s="1288"/>
      <c r="X33" s="1287">
        <f t="shared" si="7"/>
        <v>0</v>
      </c>
      <c r="Y33" s="1283"/>
      <c r="Z33" s="1263" t="s">
        <v>856</v>
      </c>
      <c r="AA33" s="1284"/>
      <c r="AB33" s="1263" t="s">
        <v>392</v>
      </c>
      <c r="AC33" s="1284"/>
      <c r="AD33" s="1285">
        <v>0</v>
      </c>
      <c r="AE33" s="1284"/>
      <c r="AF33" s="1287">
        <f t="shared" si="8"/>
        <v>0</v>
      </c>
      <c r="AG33" s="1284"/>
      <c r="AH33" s="1196">
        <v>190</v>
      </c>
      <c r="AI33" s="1263"/>
    </row>
    <row r="34" spans="2:35">
      <c r="B34" s="1196">
        <v>23</v>
      </c>
      <c r="C34" s="1255" t="s">
        <v>1344</v>
      </c>
      <c r="D34" s="1280" t="s">
        <v>1326</v>
      </c>
      <c r="E34" s="1255" t="s">
        <v>855</v>
      </c>
      <c r="F34" s="1286">
        <v>0</v>
      </c>
      <c r="G34" s="1287">
        <f t="shared" si="0"/>
        <v>0</v>
      </c>
      <c r="H34" s="1286"/>
      <c r="I34" s="1287">
        <f t="shared" si="1"/>
        <v>0</v>
      </c>
      <c r="J34" s="1287">
        <v>1246927</v>
      </c>
      <c r="K34" s="1288"/>
      <c r="L34" s="1286">
        <v>876796.16234582651</v>
      </c>
      <c r="M34" s="1287">
        <f t="shared" si="3"/>
        <v>184127.19409262357</v>
      </c>
      <c r="N34" s="1286">
        <v>72335.683393530693</v>
      </c>
      <c r="O34" s="1287">
        <f t="shared" si="4"/>
        <v>-15190.493512641446</v>
      </c>
      <c r="P34" s="1287">
        <f t="shared" si="5"/>
        <v>241272.38397351283</v>
      </c>
      <c r="Q34" s="1289"/>
      <c r="R34" s="1287">
        <f t="shared" si="6"/>
        <v>1005654.6160264872</v>
      </c>
      <c r="S34" s="1288"/>
      <c r="T34" s="1286">
        <v>0</v>
      </c>
      <c r="U34" s="1288"/>
      <c r="V34" s="1286">
        <f>+R34</f>
        <v>1005654.6160264872</v>
      </c>
      <c r="W34" s="1288"/>
      <c r="X34" s="1287">
        <f t="shared" si="7"/>
        <v>0</v>
      </c>
      <c r="Y34" s="1283"/>
      <c r="Z34" s="1263" t="s">
        <v>857</v>
      </c>
      <c r="AA34" s="1284"/>
      <c r="AB34" s="1263" t="s">
        <v>392</v>
      </c>
      <c r="AC34" s="1284"/>
      <c r="AD34" s="1285">
        <v>0</v>
      </c>
      <c r="AE34" s="1284"/>
      <c r="AF34" s="1287">
        <f t="shared" si="8"/>
        <v>0</v>
      </c>
      <c r="AG34" s="1284"/>
      <c r="AH34" s="1196">
        <v>190</v>
      </c>
      <c r="AI34" s="1263"/>
    </row>
    <row r="35" spans="2:35">
      <c r="B35" s="1196">
        <v>24</v>
      </c>
      <c r="C35" s="1255" t="s">
        <v>1345</v>
      </c>
      <c r="D35" s="1280" t="s">
        <v>1342</v>
      </c>
      <c r="E35" s="1255" t="s">
        <v>855</v>
      </c>
      <c r="F35" s="1286">
        <v>0</v>
      </c>
      <c r="G35" s="1287">
        <f t="shared" si="0"/>
        <v>0</v>
      </c>
      <c r="H35" s="1286">
        <v>0</v>
      </c>
      <c r="I35" s="1287">
        <f t="shared" si="1"/>
        <v>0</v>
      </c>
      <c r="J35" s="1287">
        <f t="shared" si="9"/>
        <v>0</v>
      </c>
      <c r="K35" s="1288"/>
      <c r="L35" s="1286">
        <v>113764341.72600223</v>
      </c>
      <c r="M35" s="1287">
        <f t="shared" si="3"/>
        <v>23890511.762460466</v>
      </c>
      <c r="N35" s="1286">
        <v>9385558.1923951842</v>
      </c>
      <c r="O35" s="1287">
        <f t="shared" si="4"/>
        <v>-1970967.2204029886</v>
      </c>
      <c r="P35" s="1287">
        <f t="shared" si="5"/>
        <v>31305102.734452661</v>
      </c>
      <c r="Q35" s="1289"/>
      <c r="R35" s="1287">
        <f t="shared" si="6"/>
        <v>-31305102.734452661</v>
      </c>
      <c r="S35" s="1288"/>
      <c r="T35" s="1286">
        <v>0</v>
      </c>
      <c r="U35" s="1288"/>
      <c r="V35" s="1286">
        <f>R35</f>
        <v>-31305102.734452661</v>
      </c>
      <c r="W35" s="1288"/>
      <c r="X35" s="1287">
        <f t="shared" si="7"/>
        <v>0</v>
      </c>
      <c r="Y35" s="1283"/>
      <c r="Z35" s="1263" t="s">
        <v>857</v>
      </c>
      <c r="AA35" s="1284"/>
      <c r="AB35" s="1263" t="s">
        <v>392</v>
      </c>
      <c r="AC35" s="1284"/>
      <c r="AD35" s="1285">
        <v>0</v>
      </c>
      <c r="AE35" s="1284"/>
      <c r="AF35" s="1287">
        <f t="shared" si="8"/>
        <v>0</v>
      </c>
      <c r="AG35" s="1284"/>
      <c r="AH35" s="1196">
        <v>190</v>
      </c>
      <c r="AI35" s="1263"/>
    </row>
    <row r="36" spans="2:35" ht="13">
      <c r="B36" s="1196">
        <f>+B35+1</f>
        <v>25</v>
      </c>
      <c r="C36" s="1290" t="s">
        <v>862</v>
      </c>
      <c r="D36" s="1263"/>
      <c r="E36" s="1263"/>
      <c r="F36" s="1291">
        <f>SUM(F12:F35)</f>
        <v>81419320.639999986</v>
      </c>
      <c r="G36" s="1291">
        <f>SUM(G12:G35)</f>
        <v>28496762.224000007</v>
      </c>
      <c r="H36" s="1291">
        <f>SUM(H12:H35)</f>
        <v>21697626.195299998</v>
      </c>
      <c r="I36" s="1291">
        <f>SUM(I12:I35)</f>
        <v>-7594169.1683550002</v>
      </c>
      <c r="J36" s="1291">
        <f>SUM(J12:J35)</f>
        <v>44615584.250944979</v>
      </c>
      <c r="K36" s="1283"/>
      <c r="L36" s="1291">
        <f>SUM(L12:L35)</f>
        <v>196060458.52834803</v>
      </c>
      <c r="M36" s="1291">
        <f>SUM(M12:M35)</f>
        <v>41172696.290953085</v>
      </c>
      <c r="N36" s="1291">
        <f>SUM(N12:N35)</f>
        <v>31158459.034379851</v>
      </c>
      <c r="O36" s="1291">
        <f>SUM(O12:O35)</f>
        <v>-6543276.3972197687</v>
      </c>
      <c r="P36" s="1291">
        <f>SUM(P12:P35)</f>
        <v>66556316.928113148</v>
      </c>
      <c r="R36" s="1291">
        <f>SUM(R12:R35)</f>
        <v>-21940732.677168179</v>
      </c>
      <c r="S36" s="1283"/>
      <c r="T36" s="1291">
        <f>SUM(T12:T35)</f>
        <v>22927042.007650003</v>
      </c>
      <c r="U36" s="1283"/>
      <c r="V36" s="1291">
        <f>SUM(V12:V35)</f>
        <v>-29751869.866926175</v>
      </c>
      <c r="W36" s="1283"/>
      <c r="X36" s="1291">
        <f>SUM(X12:X35)</f>
        <v>-15115904.817892015</v>
      </c>
      <c r="Y36" s="1283"/>
      <c r="Z36" s="1263"/>
      <c r="AA36" s="1284"/>
      <c r="AB36" s="1263"/>
      <c r="AC36" s="1284"/>
      <c r="AD36" s="1285"/>
      <c r="AE36" s="1284"/>
      <c r="AF36" s="1291">
        <f>SUM(AF12:AF35)</f>
        <v>-5220329.6200069413</v>
      </c>
      <c r="AG36" s="1284"/>
      <c r="AI36" s="1263"/>
    </row>
    <row r="37" spans="2:35">
      <c r="B37" s="1263"/>
      <c r="C37" s="1263"/>
      <c r="D37" s="1263"/>
      <c r="E37" s="1263"/>
      <c r="F37" s="1282"/>
      <c r="G37" s="1282"/>
      <c r="H37" s="1282"/>
      <c r="I37" s="1282"/>
      <c r="J37" s="1282"/>
      <c r="K37" s="1283"/>
      <c r="L37" s="1282"/>
      <c r="M37" s="1282"/>
      <c r="N37" s="1282"/>
      <c r="O37" s="1282"/>
      <c r="P37" s="1282"/>
      <c r="R37" s="1282"/>
      <c r="S37" s="1283"/>
      <c r="T37" s="1282"/>
      <c r="U37" s="1283"/>
      <c r="V37" s="1282"/>
      <c r="W37" s="1283"/>
      <c r="X37" s="1282"/>
      <c r="Y37" s="1283"/>
      <c r="Z37" s="1263"/>
      <c r="AA37" s="1284"/>
      <c r="AB37" s="1263"/>
      <c r="AC37" s="1284"/>
      <c r="AD37" s="1285"/>
      <c r="AE37" s="1284"/>
      <c r="AF37" s="1282"/>
      <c r="AG37" s="1284"/>
      <c r="AI37" s="1263"/>
    </row>
    <row r="38" spans="2:35">
      <c r="B38" s="1263"/>
      <c r="C38" s="1263"/>
      <c r="D38" s="1263"/>
      <c r="E38" s="1263"/>
      <c r="F38" s="1282"/>
      <c r="G38" s="1282"/>
      <c r="H38" s="1282"/>
      <c r="I38" s="1282"/>
      <c r="J38" s="1282"/>
      <c r="K38" s="1283"/>
      <c r="L38" s="1282"/>
      <c r="M38" s="1282"/>
      <c r="N38" s="1282"/>
      <c r="O38" s="1282"/>
      <c r="P38" s="1282"/>
      <c r="R38" s="1282"/>
      <c r="S38" s="1283"/>
      <c r="T38" s="1282"/>
      <c r="U38" s="1283"/>
      <c r="V38" s="1282"/>
      <c r="W38" s="1283"/>
      <c r="X38" s="1282"/>
      <c r="Y38" s="1283"/>
      <c r="Z38" s="1263"/>
      <c r="AA38" s="1284"/>
      <c r="AB38" s="1263"/>
      <c r="AC38" s="1284"/>
      <c r="AD38" s="1285"/>
      <c r="AE38" s="1284"/>
      <c r="AF38" s="1282"/>
      <c r="AG38" s="1284"/>
      <c r="AI38" s="1263"/>
    </row>
    <row r="39" spans="2:35" ht="14">
      <c r="B39" s="1263"/>
      <c r="C39" s="1292" t="s">
        <v>1346</v>
      </c>
      <c r="D39" s="1263"/>
      <c r="E39" s="1263"/>
      <c r="F39" s="1282"/>
      <c r="G39" s="1282"/>
      <c r="H39" s="1282"/>
      <c r="I39" s="1282"/>
      <c r="J39" s="1282"/>
      <c r="K39" s="1283"/>
      <c r="L39" s="1282"/>
      <c r="M39" s="1282"/>
      <c r="N39" s="1282"/>
      <c r="O39" s="1282"/>
      <c r="P39" s="1282"/>
      <c r="R39" s="1282"/>
      <c r="S39" s="1283"/>
      <c r="T39" s="1282"/>
      <c r="U39" s="1283"/>
      <c r="V39" s="1282"/>
      <c r="W39" s="1283"/>
      <c r="X39" s="1282"/>
      <c r="Y39" s="1283"/>
      <c r="Z39" s="1263"/>
      <c r="AA39" s="1284"/>
      <c r="AB39" s="1263"/>
      <c r="AC39" s="1284"/>
      <c r="AD39" s="1285"/>
      <c r="AE39" s="1284"/>
      <c r="AF39" s="1282"/>
      <c r="AG39" s="1284"/>
      <c r="AI39" s="1263"/>
    </row>
    <row r="40" spans="2:35">
      <c r="B40" s="1196">
        <f>B36+1</f>
        <v>26</v>
      </c>
      <c r="C40" s="1255" t="s">
        <v>1347</v>
      </c>
      <c r="D40" s="1280" t="s">
        <v>1348</v>
      </c>
      <c r="E40" s="1255" t="s">
        <v>821</v>
      </c>
      <c r="F40" s="1281">
        <v>-3318517374.9899998</v>
      </c>
      <c r="G40" s="1282">
        <f t="shared" ref="G40:G46" si="10">F40*0.35</f>
        <v>-1161481081.2464998</v>
      </c>
      <c r="H40" s="1281">
        <v>0</v>
      </c>
      <c r="I40" s="1282">
        <f t="shared" ref="I40:I46" si="11">-H40*0.35</f>
        <v>0</v>
      </c>
      <c r="J40" s="1282">
        <f t="shared" ref="J40:J46" si="12">G40+I40+H40</f>
        <v>-1161481081.2464998</v>
      </c>
      <c r="K40" s="1283"/>
      <c r="L40" s="1281">
        <f t="shared" ref="L40:L46" si="13">F40</f>
        <v>-3318517374.9899998</v>
      </c>
      <c r="M40" s="1282">
        <f t="shared" ref="M40:M46" si="14">L40*0.21</f>
        <v>-696888648.74789989</v>
      </c>
      <c r="N40" s="1281">
        <v>0</v>
      </c>
      <c r="O40" s="1282">
        <f t="shared" ref="O40:O46" si="15">-N40*0.21</f>
        <v>0</v>
      </c>
      <c r="P40" s="1282">
        <f t="shared" ref="P40:P46" si="16">M40+O40+N40</f>
        <v>-696888648.74789989</v>
      </c>
      <c r="R40" s="1282">
        <f t="shared" ref="R40:R46" si="17">J40-P40</f>
        <v>-464592432.49859989</v>
      </c>
      <c r="S40" s="1283"/>
      <c r="T40" s="1281">
        <v>0</v>
      </c>
      <c r="U40" s="1283"/>
      <c r="V40" s="1281">
        <v>0</v>
      </c>
      <c r="W40" s="1283"/>
      <c r="X40" s="1282">
        <f t="shared" ref="X40:X46" si="18">R40-T40-V40</f>
        <v>-464592432.49859989</v>
      </c>
      <c r="Y40" s="1283"/>
      <c r="Z40" s="1263" t="s">
        <v>863</v>
      </c>
      <c r="AA40" s="1284"/>
      <c r="AB40" s="1263" t="s">
        <v>393</v>
      </c>
      <c r="AC40" s="1284"/>
      <c r="AD40" s="1285">
        <v>0.15215723</v>
      </c>
      <c r="AE40" s="1284"/>
      <c r="AF40" s="1282">
        <f t="shared" ref="AF40:AF46" si="19">X40*AD40</f>
        <v>-70691097.607948944</v>
      </c>
      <c r="AG40" s="1284"/>
      <c r="AH40" s="1196">
        <v>282</v>
      </c>
      <c r="AI40" s="1190"/>
    </row>
    <row r="41" spans="2:35">
      <c r="B41" s="1196">
        <f>+B40+1</f>
        <v>27</v>
      </c>
      <c r="C41" s="1255" t="s">
        <v>864</v>
      </c>
      <c r="D41" s="1280" t="s">
        <v>1348</v>
      </c>
      <c r="E41" s="1255" t="s">
        <v>819</v>
      </c>
      <c r="F41" s="1286">
        <v>-2205059321.6900005</v>
      </c>
      <c r="G41" s="1287">
        <f t="shared" si="10"/>
        <v>-771770762.59150016</v>
      </c>
      <c r="H41" s="1286">
        <v>-291630163.13999999</v>
      </c>
      <c r="I41" s="1287">
        <f t="shared" si="11"/>
        <v>102070557.09899999</v>
      </c>
      <c r="J41" s="1287">
        <f t="shared" si="12"/>
        <v>-961330368.63250017</v>
      </c>
      <c r="K41" s="1288"/>
      <c r="L41" s="1286">
        <f t="shared" si="13"/>
        <v>-2205059321.6900005</v>
      </c>
      <c r="M41" s="1287">
        <f t="shared" si="14"/>
        <v>-463062457.55490011</v>
      </c>
      <c r="N41" s="1286">
        <v>-291630163.12897503</v>
      </c>
      <c r="O41" s="1287">
        <f t="shared" si="15"/>
        <v>61242334.257084757</v>
      </c>
      <c r="P41" s="1287">
        <f t="shared" si="16"/>
        <v>-693450286.42679036</v>
      </c>
      <c r="Q41" s="1289"/>
      <c r="R41" s="1287">
        <f t="shared" si="17"/>
        <v>-267880082.20570982</v>
      </c>
      <c r="S41" s="1288"/>
      <c r="T41" s="1286">
        <v>0</v>
      </c>
      <c r="U41" s="1288"/>
      <c r="V41" s="1286">
        <v>-19999521</v>
      </c>
      <c r="W41" s="1283"/>
      <c r="X41" s="1287">
        <f t="shared" si="18"/>
        <v>-247880561.20570982</v>
      </c>
      <c r="Y41" s="1283"/>
      <c r="Z41" s="1263" t="s">
        <v>863</v>
      </c>
      <c r="AA41" s="1284"/>
      <c r="AB41" s="1263" t="s">
        <v>393</v>
      </c>
      <c r="AC41" s="1284"/>
      <c r="AD41" s="1285">
        <v>0.15215723</v>
      </c>
      <c r="AE41" s="1284"/>
      <c r="AF41" s="1287">
        <f t="shared" si="19"/>
        <v>-37716819.563906267</v>
      </c>
      <c r="AG41" s="1284"/>
      <c r="AH41" s="1196">
        <v>282</v>
      </c>
      <c r="AI41" s="1190"/>
    </row>
    <row r="42" spans="2:35">
      <c r="B42" s="1196">
        <f t="shared" ref="B42:B47" si="20">+B41+1</f>
        <v>28</v>
      </c>
      <c r="C42" s="1255" t="s">
        <v>1345</v>
      </c>
      <c r="D42" s="1280" t="s">
        <v>1348</v>
      </c>
      <c r="E42" s="1255" t="s">
        <v>819</v>
      </c>
      <c r="F42" s="1286">
        <v>0</v>
      </c>
      <c r="G42" s="1287">
        <f t="shared" si="10"/>
        <v>0</v>
      </c>
      <c r="H42" s="1286">
        <v>0</v>
      </c>
      <c r="I42" s="1287">
        <f t="shared" si="11"/>
        <v>0</v>
      </c>
      <c r="J42" s="1287">
        <f t="shared" si="12"/>
        <v>0</v>
      </c>
      <c r="K42" s="1288"/>
      <c r="L42" s="1286">
        <v>1027045944.4193709</v>
      </c>
      <c r="M42" s="1287">
        <f t="shared" si="14"/>
        <v>215679648.32806787</v>
      </c>
      <c r="N42" s="1286">
        <v>84731290.414598107</v>
      </c>
      <c r="O42" s="1287">
        <f t="shared" si="15"/>
        <v>-17793570.987065602</v>
      </c>
      <c r="P42" s="1287">
        <f t="shared" si="16"/>
        <v>282617367.75560033</v>
      </c>
      <c r="Q42" s="1289"/>
      <c r="R42" s="1287">
        <f t="shared" si="17"/>
        <v>-282617367.75560033</v>
      </c>
      <c r="S42" s="1288"/>
      <c r="T42" s="1286">
        <v>0</v>
      </c>
      <c r="U42" s="1288"/>
      <c r="V42" s="1286">
        <v>-282617367.75560039</v>
      </c>
      <c r="W42" s="1283"/>
      <c r="X42" s="1287">
        <f t="shared" si="18"/>
        <v>0</v>
      </c>
      <c r="Y42" s="1283"/>
      <c r="Z42" s="1263" t="s">
        <v>863</v>
      </c>
      <c r="AA42" s="1284"/>
      <c r="AB42" s="1263" t="s">
        <v>392</v>
      </c>
      <c r="AC42" s="1284"/>
      <c r="AD42" s="1285">
        <v>0</v>
      </c>
      <c r="AE42" s="1284"/>
      <c r="AF42" s="1287">
        <f t="shared" si="19"/>
        <v>0</v>
      </c>
      <c r="AG42" s="1284"/>
      <c r="AH42" s="1196">
        <v>282</v>
      </c>
      <c r="AI42" s="1190"/>
    </row>
    <row r="43" spans="2:35">
      <c r="B43" s="1196">
        <f t="shared" si="20"/>
        <v>29</v>
      </c>
      <c r="C43" s="1255" t="s">
        <v>1344</v>
      </c>
      <c r="D43" s="1280" t="s">
        <v>1348</v>
      </c>
      <c r="E43" s="1255" t="s">
        <v>819</v>
      </c>
      <c r="F43" s="1286">
        <v>-93079501.739677429</v>
      </c>
      <c r="G43" s="1287">
        <f t="shared" si="10"/>
        <v>-32577825.608887099</v>
      </c>
      <c r="H43" s="1286">
        <v>-7679058.8935233885</v>
      </c>
      <c r="I43" s="1287">
        <f t="shared" si="11"/>
        <v>2687670.6127331858</v>
      </c>
      <c r="J43" s="1287">
        <f t="shared" si="12"/>
        <v>-37569213.889677301</v>
      </c>
      <c r="K43" s="1288"/>
      <c r="L43" s="1286">
        <f t="shared" si="13"/>
        <v>-93079501.739677429</v>
      </c>
      <c r="M43" s="1287">
        <f t="shared" si="14"/>
        <v>-19546695.365332261</v>
      </c>
      <c r="N43" s="1286">
        <v>-7679058.8935233885</v>
      </c>
      <c r="O43" s="1287">
        <f t="shared" si="15"/>
        <v>1612602.3676399116</v>
      </c>
      <c r="P43" s="1287">
        <f t="shared" si="16"/>
        <v>-25613151.891215738</v>
      </c>
      <c r="Q43" s="1289"/>
      <c r="R43" s="1287">
        <f t="shared" si="17"/>
        <v>-11956061.998461563</v>
      </c>
      <c r="S43" s="1288"/>
      <c r="T43" s="1286">
        <v>0</v>
      </c>
      <c r="U43" s="1288"/>
      <c r="V43" s="1286">
        <v>-11956061.998461563</v>
      </c>
      <c r="W43" s="1283"/>
      <c r="X43" s="1287">
        <f t="shared" si="18"/>
        <v>0</v>
      </c>
      <c r="Y43" s="1283"/>
      <c r="Z43" s="1263" t="s">
        <v>863</v>
      </c>
      <c r="AA43" s="1284"/>
      <c r="AB43" s="1263" t="s">
        <v>392</v>
      </c>
      <c r="AC43" s="1284"/>
      <c r="AD43" s="1285">
        <v>0</v>
      </c>
      <c r="AE43" s="1284"/>
      <c r="AF43" s="1287">
        <f t="shared" si="19"/>
        <v>0</v>
      </c>
      <c r="AG43" s="1284"/>
      <c r="AH43" s="1196">
        <v>282</v>
      </c>
      <c r="AI43" s="1190"/>
    </row>
    <row r="44" spans="2:35">
      <c r="B44" s="1196">
        <f t="shared" si="20"/>
        <v>30</v>
      </c>
      <c r="C44" s="1255" t="s">
        <v>1349</v>
      </c>
      <c r="D44" s="1280" t="s">
        <v>1349</v>
      </c>
      <c r="E44" s="1255" t="s">
        <v>819</v>
      </c>
      <c r="F44" s="1286">
        <v>10913811</v>
      </c>
      <c r="G44" s="1287">
        <f t="shared" si="10"/>
        <v>3819833.8499999996</v>
      </c>
      <c r="H44" s="1286">
        <v>900389.40750000009</v>
      </c>
      <c r="I44" s="1287">
        <f t="shared" si="11"/>
        <v>-315136.292625</v>
      </c>
      <c r="J44" s="1287">
        <f t="shared" si="12"/>
        <v>4405086.9648749996</v>
      </c>
      <c r="K44" s="1288"/>
      <c r="L44" s="1286">
        <f t="shared" si="13"/>
        <v>10913811</v>
      </c>
      <c r="M44" s="1287">
        <f t="shared" si="14"/>
        <v>2291900.31</v>
      </c>
      <c r="N44" s="1286">
        <v>900389.40750000009</v>
      </c>
      <c r="O44" s="1287">
        <f t="shared" si="15"/>
        <v>-189081.77557500001</v>
      </c>
      <c r="P44" s="1287">
        <f t="shared" si="16"/>
        <v>3003207.9419250004</v>
      </c>
      <c r="Q44" s="1289"/>
      <c r="R44" s="1287">
        <f t="shared" si="17"/>
        <v>1401879.0229499992</v>
      </c>
      <c r="S44" s="1288"/>
      <c r="T44" s="1286">
        <v>1401879</v>
      </c>
      <c r="U44" s="1288"/>
      <c r="V44" s="1286">
        <v>0</v>
      </c>
      <c r="W44" s="1283"/>
      <c r="X44" s="1287">
        <f t="shared" si="18"/>
        <v>2.2949999198317528E-2</v>
      </c>
      <c r="Y44" s="1283"/>
      <c r="Z44" s="1263" t="s">
        <v>863</v>
      </c>
      <c r="AA44" s="1284"/>
      <c r="AB44" s="1263" t="s">
        <v>392</v>
      </c>
      <c r="AC44" s="1284"/>
      <c r="AD44" s="1285">
        <v>0</v>
      </c>
      <c r="AE44" s="1284"/>
      <c r="AF44" s="1287">
        <f t="shared" si="19"/>
        <v>0</v>
      </c>
      <c r="AG44" s="1284"/>
      <c r="AH44" s="1196">
        <v>282</v>
      </c>
      <c r="AI44" s="1263"/>
    </row>
    <row r="45" spans="2:35">
      <c r="B45" s="1196">
        <f t="shared" si="20"/>
        <v>31</v>
      </c>
      <c r="C45" s="1255" t="s">
        <v>865</v>
      </c>
      <c r="D45" s="1280" t="s">
        <v>1348</v>
      </c>
      <c r="E45" s="1255" t="s">
        <v>819</v>
      </c>
      <c r="F45" s="1286">
        <v>-2022331</v>
      </c>
      <c r="G45" s="1287">
        <f t="shared" si="10"/>
        <v>-707815.85</v>
      </c>
      <c r="H45" s="1286">
        <v>-166842.3075</v>
      </c>
      <c r="I45" s="1287">
        <f t="shared" si="11"/>
        <v>58394.807624999994</v>
      </c>
      <c r="J45" s="1287">
        <f t="shared" si="12"/>
        <v>-816263.34987499996</v>
      </c>
      <c r="K45" s="1288"/>
      <c r="L45" s="1286">
        <f t="shared" si="13"/>
        <v>-2022331</v>
      </c>
      <c r="M45" s="1287">
        <f t="shared" si="14"/>
        <v>-424689.51</v>
      </c>
      <c r="N45" s="1286">
        <v>-166842.3075</v>
      </c>
      <c r="O45" s="1287">
        <f t="shared" si="15"/>
        <v>35036.884574999996</v>
      </c>
      <c r="P45" s="1287">
        <f t="shared" si="16"/>
        <v>-556494.93292500009</v>
      </c>
      <c r="Q45" s="1289"/>
      <c r="R45" s="1287">
        <f t="shared" si="17"/>
        <v>-259768.41694999987</v>
      </c>
      <c r="S45" s="1288"/>
      <c r="T45" s="1286">
        <v>0</v>
      </c>
      <c r="U45" s="1288"/>
      <c r="V45" s="1286">
        <v>0</v>
      </c>
      <c r="W45" s="1283"/>
      <c r="X45" s="1287">
        <f t="shared" si="18"/>
        <v>-259768.41694999987</v>
      </c>
      <c r="Y45" s="1283"/>
      <c r="Z45" s="1263" t="s">
        <v>1350</v>
      </c>
      <c r="AA45" s="1284"/>
      <c r="AB45" s="1263" t="s">
        <v>392</v>
      </c>
      <c r="AC45" s="1284"/>
      <c r="AD45" s="1285">
        <v>0</v>
      </c>
      <c r="AE45" s="1284"/>
      <c r="AF45" s="1287">
        <f t="shared" si="19"/>
        <v>0</v>
      </c>
      <c r="AG45" s="1284"/>
      <c r="AH45" s="1196">
        <v>282</v>
      </c>
      <c r="AI45" s="1190"/>
    </row>
    <row r="46" spans="2:35">
      <c r="B46" s="1196">
        <f t="shared" si="20"/>
        <v>32</v>
      </c>
      <c r="C46" s="1255" t="s">
        <v>865</v>
      </c>
      <c r="D46" s="1280" t="s">
        <v>1348</v>
      </c>
      <c r="E46" s="1255" t="s">
        <v>819</v>
      </c>
      <c r="F46" s="1286">
        <v>-563990</v>
      </c>
      <c r="G46" s="1287">
        <f t="shared" si="10"/>
        <v>-197396.5</v>
      </c>
      <c r="H46" s="1286">
        <v>-46529.175000000003</v>
      </c>
      <c r="I46" s="1287">
        <f t="shared" si="11"/>
        <v>16285.21125</v>
      </c>
      <c r="J46" s="1287">
        <f t="shared" si="12"/>
        <v>-227640.46375</v>
      </c>
      <c r="K46" s="1288"/>
      <c r="L46" s="1286">
        <f t="shared" si="13"/>
        <v>-563990</v>
      </c>
      <c r="M46" s="1287">
        <f t="shared" si="14"/>
        <v>-118437.9</v>
      </c>
      <c r="N46" s="1286">
        <v>-46529.175000000003</v>
      </c>
      <c r="O46" s="1287">
        <f t="shared" si="15"/>
        <v>9771.1267499999994</v>
      </c>
      <c r="P46" s="1287">
        <f t="shared" si="16"/>
        <v>-155195.94825000002</v>
      </c>
      <c r="Q46" s="1289"/>
      <c r="R46" s="1287">
        <f t="shared" si="17"/>
        <v>-72444.51549999998</v>
      </c>
      <c r="S46" s="1288"/>
      <c r="T46" s="1286">
        <v>507279</v>
      </c>
      <c r="U46" s="1288"/>
      <c r="V46" s="1286">
        <v>-336228</v>
      </c>
      <c r="W46" s="1283"/>
      <c r="X46" s="1287">
        <f t="shared" si="18"/>
        <v>-243495.51549999998</v>
      </c>
      <c r="Y46" s="1283"/>
      <c r="Z46" s="1263" t="s">
        <v>1350</v>
      </c>
      <c r="AA46" s="1284"/>
      <c r="AB46" s="1263" t="s">
        <v>392</v>
      </c>
      <c r="AC46" s="1284"/>
      <c r="AD46" s="1285">
        <v>0</v>
      </c>
      <c r="AE46" s="1284"/>
      <c r="AF46" s="1287">
        <f t="shared" si="19"/>
        <v>0</v>
      </c>
      <c r="AG46" s="1284"/>
      <c r="AH46" s="1196">
        <v>282</v>
      </c>
      <c r="AI46" s="1190"/>
    </row>
    <row r="47" spans="2:35" ht="13">
      <c r="B47" s="1196">
        <f t="shared" si="20"/>
        <v>33</v>
      </c>
      <c r="C47" s="1290" t="s">
        <v>866</v>
      </c>
      <c r="D47" s="1263"/>
      <c r="E47" s="1263"/>
      <c r="F47" s="1291">
        <f>SUM(F40:F46)</f>
        <v>-5608328708.4196777</v>
      </c>
      <c r="G47" s="1291">
        <f>SUM(G40:G46)</f>
        <v>-1962915047.946887</v>
      </c>
      <c r="H47" s="1291">
        <f>SUM(H40:H46)</f>
        <v>-298622204.10852337</v>
      </c>
      <c r="I47" s="1291">
        <f>SUM(I40:I46)</f>
        <v>104517771.43798319</v>
      </c>
      <c r="J47" s="1291">
        <f>SUM(J40:J46)</f>
        <v>-2157019480.6174269</v>
      </c>
      <c r="K47" s="1283"/>
      <c r="L47" s="1291">
        <f>SUM(L40:L46)</f>
        <v>-4581282764.0003071</v>
      </c>
      <c r="M47" s="1291">
        <f>SUM(M40:M46)</f>
        <v>-962069380.44006431</v>
      </c>
      <c r="N47" s="1291">
        <f>SUM(N40:N46)</f>
        <v>-213890913.68290034</v>
      </c>
      <c r="O47" s="1291">
        <f>SUM(O40:O46)</f>
        <v>44917091.873409078</v>
      </c>
      <c r="P47" s="1291">
        <f>SUM(P40:P46)</f>
        <v>-1131043202.2495556</v>
      </c>
      <c r="R47" s="1291">
        <f>SUM(R40:R46)</f>
        <v>-1025976278.3678715</v>
      </c>
      <c r="S47" s="1283"/>
      <c r="T47" s="1291">
        <f>SUM(T40:T46)</f>
        <v>1909158</v>
      </c>
      <c r="U47" s="1283"/>
      <c r="V47" s="1291">
        <f>SUM(V40:V46)</f>
        <v>-314909178.75406194</v>
      </c>
      <c r="W47" s="1283"/>
      <c r="X47" s="1291">
        <f>SUM(X40:X46)</f>
        <v>-712976257.61380959</v>
      </c>
      <c r="Y47" s="1283"/>
      <c r="Z47" s="1263"/>
      <c r="AA47" s="1284"/>
      <c r="AB47" s="1263"/>
      <c r="AC47" s="1284"/>
      <c r="AD47" s="1285"/>
      <c r="AE47" s="1284"/>
      <c r="AF47" s="1291">
        <f>SUM(AF40:AF46)</f>
        <v>-108407917.17185521</v>
      </c>
      <c r="AG47" s="1284"/>
      <c r="AI47" s="1263"/>
    </row>
    <row r="48" spans="2:35">
      <c r="B48" s="1196"/>
      <c r="C48" s="1263"/>
      <c r="D48" s="1263"/>
      <c r="E48" s="1263"/>
      <c r="F48" s="1282"/>
      <c r="G48" s="1282"/>
      <c r="H48" s="1282"/>
      <c r="I48" s="1282"/>
      <c r="J48" s="1282"/>
      <c r="K48" s="1283"/>
      <c r="L48" s="1282"/>
      <c r="M48" s="1282"/>
      <c r="N48" s="1282"/>
      <c r="O48" s="1282"/>
      <c r="P48" s="1282"/>
      <c r="R48" s="1282"/>
      <c r="S48" s="1283"/>
      <c r="T48" s="1282"/>
      <c r="U48" s="1283"/>
      <c r="V48" s="1282"/>
      <c r="W48" s="1283"/>
      <c r="X48" s="1282"/>
      <c r="Y48" s="1283"/>
      <c r="Z48" s="1263"/>
      <c r="AA48" s="1284"/>
      <c r="AB48" s="1263"/>
      <c r="AC48" s="1284"/>
      <c r="AD48" s="1285"/>
      <c r="AE48" s="1284"/>
      <c r="AF48" s="1282"/>
      <c r="AG48" s="1284"/>
      <c r="AI48" s="1263"/>
    </row>
    <row r="49" spans="2:35" ht="14">
      <c r="B49" s="1196"/>
      <c r="C49" s="1292" t="s">
        <v>1351</v>
      </c>
      <c r="D49" s="1263"/>
      <c r="E49" s="1263"/>
      <c r="F49" s="1282"/>
      <c r="G49" s="1282"/>
      <c r="H49" s="1282"/>
      <c r="I49" s="1282"/>
      <c r="J49" s="1282"/>
      <c r="K49" s="1283"/>
      <c r="L49" s="1282"/>
      <c r="M49" s="1282"/>
      <c r="N49" s="1282"/>
      <c r="O49" s="1282"/>
      <c r="P49" s="1282"/>
      <c r="R49" s="1282"/>
      <c r="S49" s="1283"/>
      <c r="T49" s="1282"/>
      <c r="U49" s="1283"/>
      <c r="V49" s="1282"/>
      <c r="W49" s="1283"/>
      <c r="X49" s="1282"/>
      <c r="Y49" s="1283"/>
      <c r="Z49" s="1263"/>
      <c r="AA49" s="1284"/>
      <c r="AB49" s="1263"/>
      <c r="AC49" s="1284"/>
      <c r="AD49" s="1285"/>
      <c r="AE49" s="1284"/>
      <c r="AF49" s="1282"/>
      <c r="AG49" s="1284"/>
      <c r="AI49" s="1263"/>
    </row>
    <row r="50" spans="2:35">
      <c r="B50" s="1196">
        <f>+B47+1</f>
        <v>34</v>
      </c>
      <c r="C50" s="1255" t="s">
        <v>1352</v>
      </c>
      <c r="D50" s="1280" t="s">
        <v>1353</v>
      </c>
      <c r="E50" s="1255" t="s">
        <v>855</v>
      </c>
      <c r="F50" s="1281">
        <v>-217101044.59</v>
      </c>
      <c r="G50" s="1282">
        <f t="shared" ref="G50:G70" si="21">F50*0.35</f>
        <v>-75985365.6065</v>
      </c>
      <c r="H50" s="1281">
        <v>-17910836.178675</v>
      </c>
      <c r="I50" s="1282">
        <f t="shared" ref="I50:I70" si="22">-H50*0.35</f>
        <v>6268792.6625362495</v>
      </c>
      <c r="J50" s="1282">
        <f t="shared" ref="J50:J70" si="23">G50+I50+H50</f>
        <v>-87627409.122638747</v>
      </c>
      <c r="K50" s="1283"/>
      <c r="L50" s="1281">
        <f t="shared" ref="L50:L70" si="24">F50</f>
        <v>-217101044.59</v>
      </c>
      <c r="M50" s="1282">
        <f t="shared" ref="M50:M70" si="25">L50*0.21</f>
        <v>-45591219.363899998</v>
      </c>
      <c r="N50" s="1281">
        <v>-17910836.178675</v>
      </c>
      <c r="O50" s="1282">
        <f t="shared" ref="O50:O70" si="26">-N50*0.21</f>
        <v>3761275.5975217498</v>
      </c>
      <c r="P50" s="1282">
        <f t="shared" ref="P50:P70" si="27">M50+O50+N50</f>
        <v>-59740779.94505325</v>
      </c>
      <c r="R50" s="1282">
        <f t="shared" ref="R50:R70" si="28">J50-P50</f>
        <v>-27886629.177585497</v>
      </c>
      <c r="S50" s="1283"/>
      <c r="T50" s="1281">
        <v>0</v>
      </c>
      <c r="U50" s="1283"/>
      <c r="V50" s="1281">
        <v>0</v>
      </c>
      <c r="W50" s="1283"/>
      <c r="X50" s="1282">
        <f t="shared" ref="X50:X70" si="29">R50-T50-V50</f>
        <v>-27886629.177585497</v>
      </c>
      <c r="Y50" s="1283"/>
      <c r="Z50" s="1263" t="s">
        <v>856</v>
      </c>
      <c r="AA50" s="1284"/>
      <c r="AB50" s="1263" t="s">
        <v>392</v>
      </c>
      <c r="AC50" s="1284"/>
      <c r="AD50" s="1285">
        <v>0</v>
      </c>
      <c r="AE50" s="1284"/>
      <c r="AF50" s="1282">
        <f>X50*AD50</f>
        <v>0</v>
      </c>
      <c r="AG50" s="1284"/>
      <c r="AH50" s="1196">
        <v>283</v>
      </c>
      <c r="AI50" s="1190"/>
    </row>
    <row r="51" spans="2:35">
      <c r="B51" s="1196">
        <f>+B50+1</f>
        <v>35</v>
      </c>
      <c r="C51" s="1255" t="s">
        <v>1354</v>
      </c>
      <c r="D51" s="1280" t="s">
        <v>1354</v>
      </c>
      <c r="E51" s="1255" t="s">
        <v>855</v>
      </c>
      <c r="F51" s="1286">
        <v>-14436234</v>
      </c>
      <c r="G51" s="1287">
        <f t="shared" si="21"/>
        <v>-5052681.8999999994</v>
      </c>
      <c r="H51" s="1286">
        <v>-1190989.3050000002</v>
      </c>
      <c r="I51" s="1287">
        <f t="shared" si="22"/>
        <v>416846.25675000006</v>
      </c>
      <c r="J51" s="1287">
        <f t="shared" si="23"/>
        <v>-5826824.9482499994</v>
      </c>
      <c r="K51" s="1288"/>
      <c r="L51" s="1286">
        <f t="shared" si="24"/>
        <v>-14436234</v>
      </c>
      <c r="M51" s="1287">
        <f t="shared" si="25"/>
        <v>-3031609.1399999997</v>
      </c>
      <c r="N51" s="1286">
        <v>-1190989.3050000002</v>
      </c>
      <c r="O51" s="1287">
        <f t="shared" si="26"/>
        <v>250107.75405000002</v>
      </c>
      <c r="P51" s="1287">
        <f t="shared" si="27"/>
        <v>-3972490.6909499997</v>
      </c>
      <c r="Q51" s="1289"/>
      <c r="R51" s="1287">
        <f t="shared" si="28"/>
        <v>-1854334.2572999997</v>
      </c>
      <c r="S51" s="1288"/>
      <c r="T51" s="1286">
        <v>-1854334.2573000002</v>
      </c>
      <c r="U51" s="1288"/>
      <c r="V51" s="1286">
        <v>0</v>
      </c>
      <c r="W51" s="1288"/>
      <c r="X51" s="1287">
        <f t="shared" si="29"/>
        <v>4.6566128730773926E-10</v>
      </c>
      <c r="Y51" s="1283"/>
      <c r="Z51" s="1263" t="s">
        <v>857</v>
      </c>
      <c r="AA51" s="1284"/>
      <c r="AB51" s="1263" t="s">
        <v>392</v>
      </c>
      <c r="AC51" s="1284"/>
      <c r="AD51" s="1285">
        <v>0</v>
      </c>
      <c r="AE51" s="1284"/>
      <c r="AF51" s="1282">
        <f t="shared" ref="AF51:AF70" si="30">X51*AD51</f>
        <v>0</v>
      </c>
      <c r="AG51" s="1284"/>
      <c r="AH51" s="1196">
        <v>283</v>
      </c>
      <c r="AI51" s="1190"/>
    </row>
    <row r="52" spans="2:35">
      <c r="B52" s="1196">
        <f t="shared" ref="B52:B71" si="31">+B51+1</f>
        <v>36</v>
      </c>
      <c r="C52" s="1255" t="s">
        <v>1355</v>
      </c>
      <c r="D52" s="1280" t="s">
        <v>1355</v>
      </c>
      <c r="E52" s="1255" t="s">
        <v>855</v>
      </c>
      <c r="F52" s="1286">
        <v>-5678490</v>
      </c>
      <c r="G52" s="1287">
        <f t="shared" si="21"/>
        <v>-1987471.4999999998</v>
      </c>
      <c r="H52" s="1286">
        <v>-468475.42500000005</v>
      </c>
      <c r="I52" s="1287">
        <f t="shared" si="22"/>
        <v>163966.39874999999</v>
      </c>
      <c r="J52" s="1287">
        <f t="shared" si="23"/>
        <v>-2291980.5262500001</v>
      </c>
      <c r="K52" s="1288"/>
      <c r="L52" s="1286">
        <f t="shared" si="24"/>
        <v>-5678490</v>
      </c>
      <c r="M52" s="1287">
        <f t="shared" si="25"/>
        <v>-1192482.8999999999</v>
      </c>
      <c r="N52" s="1286">
        <v>-468475.42500000005</v>
      </c>
      <c r="O52" s="1287">
        <f t="shared" si="26"/>
        <v>98379.839250000005</v>
      </c>
      <c r="P52" s="1287">
        <f t="shared" si="27"/>
        <v>-1562578.48575</v>
      </c>
      <c r="Q52" s="1289"/>
      <c r="R52" s="1287">
        <f t="shared" si="28"/>
        <v>-729402.04050000012</v>
      </c>
      <c r="S52" s="1288"/>
      <c r="T52" s="1286">
        <v>-4.0499999653548002E-2</v>
      </c>
      <c r="U52" s="1288"/>
      <c r="V52" s="1286">
        <v>0</v>
      </c>
      <c r="W52" s="1288"/>
      <c r="X52" s="1287">
        <f t="shared" si="29"/>
        <v>-729402.00000000047</v>
      </c>
      <c r="Y52" s="1283"/>
      <c r="Z52" s="1263" t="s">
        <v>856</v>
      </c>
      <c r="AA52" s="1284"/>
      <c r="AB52" s="1263" t="s">
        <v>392</v>
      </c>
      <c r="AC52" s="1284"/>
      <c r="AD52" s="1285">
        <v>0</v>
      </c>
      <c r="AE52" s="1284"/>
      <c r="AF52" s="1282">
        <f t="shared" si="30"/>
        <v>0</v>
      </c>
      <c r="AG52" s="1284"/>
      <c r="AH52" s="1196">
        <v>283</v>
      </c>
      <c r="AI52" s="1190"/>
    </row>
    <row r="53" spans="2:35">
      <c r="B53" s="1196">
        <f t="shared" si="31"/>
        <v>37</v>
      </c>
      <c r="C53" s="1255" t="s">
        <v>1356</v>
      </c>
      <c r="D53" s="1280" t="s">
        <v>1357</v>
      </c>
      <c r="E53" s="1255" t="s">
        <v>855</v>
      </c>
      <c r="F53" s="1286">
        <v>-285547709.00999993</v>
      </c>
      <c r="G53" s="1287">
        <f t="shared" si="21"/>
        <v>-99941698.153499976</v>
      </c>
      <c r="H53" s="1286">
        <v>-23557685.993324995</v>
      </c>
      <c r="I53" s="1287">
        <f t="shared" si="22"/>
        <v>8245190.0976637481</v>
      </c>
      <c r="J53" s="1287">
        <f t="shared" si="23"/>
        <v>-115254194.04916123</v>
      </c>
      <c r="K53" s="1288"/>
      <c r="L53" s="1286">
        <f t="shared" si="24"/>
        <v>-285547709.00999993</v>
      </c>
      <c r="M53" s="1287">
        <f t="shared" si="25"/>
        <v>-59965018.892099984</v>
      </c>
      <c r="N53" s="1286">
        <v>-23557685.993324995</v>
      </c>
      <c r="O53" s="1287">
        <f t="shared" si="26"/>
        <v>4947114.0585982492</v>
      </c>
      <c r="P53" s="1287">
        <f t="shared" si="27"/>
        <v>-78575590.826826721</v>
      </c>
      <c r="Q53" s="1289"/>
      <c r="R53" s="1287">
        <f t="shared" si="28"/>
        <v>-36678603.222334504</v>
      </c>
      <c r="S53" s="1288"/>
      <c r="T53" s="1286">
        <v>0</v>
      </c>
      <c r="U53" s="1288"/>
      <c r="V53" s="1286">
        <v>0</v>
      </c>
      <c r="W53" s="1288"/>
      <c r="X53" s="1287">
        <f t="shared" si="29"/>
        <v>-36678603.222334504</v>
      </c>
      <c r="Y53" s="1283"/>
      <c r="Z53" s="1263" t="s">
        <v>856</v>
      </c>
      <c r="AA53" s="1284"/>
      <c r="AB53" s="1263" t="s">
        <v>392</v>
      </c>
      <c r="AC53" s="1284"/>
      <c r="AD53" s="1285">
        <v>0</v>
      </c>
      <c r="AE53" s="1284"/>
      <c r="AF53" s="1282">
        <f t="shared" si="30"/>
        <v>0</v>
      </c>
      <c r="AG53" s="1284"/>
      <c r="AH53" s="1196">
        <v>283</v>
      </c>
      <c r="AI53" s="1190"/>
    </row>
    <row r="54" spans="2:35">
      <c r="B54" s="1196">
        <f t="shared" si="31"/>
        <v>38</v>
      </c>
      <c r="C54" s="1255" t="s">
        <v>867</v>
      </c>
      <c r="D54" s="1280" t="s">
        <v>867</v>
      </c>
      <c r="E54" s="1255" t="s">
        <v>855</v>
      </c>
      <c r="F54" s="1286">
        <v>-11428328.68</v>
      </c>
      <c r="G54" s="1287">
        <f t="shared" si="21"/>
        <v>-3999915.0379999997</v>
      </c>
      <c r="H54" s="1286">
        <v>-942837.11609999998</v>
      </c>
      <c r="I54" s="1287">
        <f t="shared" si="22"/>
        <v>329992.99063499999</v>
      </c>
      <c r="J54" s="1287">
        <f t="shared" si="23"/>
        <v>-4612759.1634649998</v>
      </c>
      <c r="K54" s="1288"/>
      <c r="L54" s="1286">
        <f t="shared" si="24"/>
        <v>-11428328.68</v>
      </c>
      <c r="M54" s="1287">
        <f t="shared" si="25"/>
        <v>-2399949.0227999999</v>
      </c>
      <c r="N54" s="1286">
        <v>-942837.11609999998</v>
      </c>
      <c r="O54" s="1287">
        <f t="shared" si="26"/>
        <v>197995.79438099999</v>
      </c>
      <c r="P54" s="1287">
        <f t="shared" si="27"/>
        <v>-3144790.3445189996</v>
      </c>
      <c r="Q54" s="1289"/>
      <c r="R54" s="1287">
        <f t="shared" si="28"/>
        <v>-1467968.8189460002</v>
      </c>
      <c r="S54" s="1288"/>
      <c r="T54" s="1286">
        <v>-1292032.8189460002</v>
      </c>
      <c r="U54" s="1288"/>
      <c r="V54" s="1286">
        <v>0</v>
      </c>
      <c r="W54" s="1288"/>
      <c r="X54" s="1287">
        <f t="shared" si="29"/>
        <v>-175936</v>
      </c>
      <c r="Y54" s="1283"/>
      <c r="Z54" s="1263" t="s">
        <v>1329</v>
      </c>
      <c r="AA54" s="1284"/>
      <c r="AB54" s="1263" t="s">
        <v>393</v>
      </c>
      <c r="AC54" s="1284"/>
      <c r="AD54" s="1285">
        <v>1</v>
      </c>
      <c r="AE54" s="1284"/>
      <c r="AF54" s="1282">
        <f t="shared" si="30"/>
        <v>-175936</v>
      </c>
      <c r="AG54" s="1284"/>
      <c r="AH54" s="1196">
        <v>283</v>
      </c>
      <c r="AI54" s="1190"/>
    </row>
    <row r="55" spans="2:35">
      <c r="B55" s="1196">
        <f t="shared" si="31"/>
        <v>39</v>
      </c>
      <c r="C55" s="1255" t="s">
        <v>1358</v>
      </c>
      <c r="D55" s="1280" t="s">
        <v>1359</v>
      </c>
      <c r="E55" s="1255" t="s">
        <v>855</v>
      </c>
      <c r="F55" s="1286">
        <v>-4791542.4199999981</v>
      </c>
      <c r="G55" s="1287">
        <f t="shared" si="21"/>
        <v>-1677039.8469999991</v>
      </c>
      <c r="H55" s="1286">
        <v>-378718.09964999981</v>
      </c>
      <c r="I55" s="1287">
        <f t="shared" si="22"/>
        <v>132551.33487749993</v>
      </c>
      <c r="J55" s="1287">
        <f t="shared" si="23"/>
        <v>-1923206.611772499</v>
      </c>
      <c r="K55" s="1288"/>
      <c r="L55" s="1286">
        <f t="shared" si="24"/>
        <v>-4791542.4199999981</v>
      </c>
      <c r="M55" s="1287">
        <f t="shared" si="25"/>
        <v>-1006223.9081999996</v>
      </c>
      <c r="N55" s="1286">
        <v>-381657.0629411391</v>
      </c>
      <c r="O55" s="1287">
        <f t="shared" si="26"/>
        <v>80147.983217639208</v>
      </c>
      <c r="P55" s="1287">
        <f t="shared" si="27"/>
        <v>-1307732.9879234994</v>
      </c>
      <c r="Q55" s="1289"/>
      <c r="R55" s="1287">
        <f t="shared" si="28"/>
        <v>-615473.62384899962</v>
      </c>
      <c r="S55" s="1288"/>
      <c r="T55" s="1286">
        <v>-615473.62384899962</v>
      </c>
      <c r="U55" s="1288"/>
      <c r="V55" s="1286">
        <v>0</v>
      </c>
      <c r="W55" s="1288"/>
      <c r="X55" s="1287">
        <f t="shared" si="29"/>
        <v>0</v>
      </c>
      <c r="Y55" s="1283"/>
      <c r="Z55" s="1263" t="s">
        <v>857</v>
      </c>
      <c r="AA55" s="1284"/>
      <c r="AB55" s="1263" t="s">
        <v>392</v>
      </c>
      <c r="AC55" s="1284"/>
      <c r="AD55" s="1285">
        <v>0</v>
      </c>
      <c r="AE55" s="1284"/>
      <c r="AF55" s="1282">
        <f t="shared" si="30"/>
        <v>0</v>
      </c>
      <c r="AG55" s="1284"/>
      <c r="AH55" s="1196">
        <v>283</v>
      </c>
      <c r="AI55" s="1190"/>
    </row>
    <row r="56" spans="2:35">
      <c r="B56" s="1196">
        <f t="shared" si="31"/>
        <v>40</v>
      </c>
      <c r="C56" s="1255" t="s">
        <v>1313</v>
      </c>
      <c r="D56" s="1280" t="s">
        <v>1313</v>
      </c>
      <c r="E56" s="1255" t="s">
        <v>855</v>
      </c>
      <c r="F56" s="1286">
        <v>-68766241.480000004</v>
      </c>
      <c r="G56" s="1287">
        <f t="shared" si="21"/>
        <v>-24068184.517999999</v>
      </c>
      <c r="H56" s="1286">
        <v>-5673214.922100001</v>
      </c>
      <c r="I56" s="1287">
        <f t="shared" si="22"/>
        <v>1985625.2227350003</v>
      </c>
      <c r="J56" s="1287">
        <f t="shared" si="23"/>
        <v>-27755774.217365</v>
      </c>
      <c r="K56" s="1288"/>
      <c r="L56" s="1286">
        <f t="shared" si="24"/>
        <v>-68766241.480000004</v>
      </c>
      <c r="M56" s="1287">
        <f t="shared" si="25"/>
        <v>-14440910.7108</v>
      </c>
      <c r="N56" s="1286">
        <v>-5673214.922100001</v>
      </c>
      <c r="O56" s="1287">
        <f t="shared" si="26"/>
        <v>1191375.1336410001</v>
      </c>
      <c r="P56" s="1287">
        <f t="shared" si="27"/>
        <v>-18922750.499258999</v>
      </c>
      <c r="Q56" s="1289"/>
      <c r="R56" s="1287">
        <f t="shared" si="28"/>
        <v>-8833023.7181060016</v>
      </c>
      <c r="S56" s="1288"/>
      <c r="T56" s="1286">
        <v>-7774385.7181060016</v>
      </c>
      <c r="U56" s="1288"/>
      <c r="V56" s="1286">
        <v>0</v>
      </c>
      <c r="W56" s="1288"/>
      <c r="X56" s="1287">
        <f t="shared" si="29"/>
        <v>-1058638</v>
      </c>
      <c r="Y56" s="1283"/>
      <c r="AA56" s="1284"/>
      <c r="AB56" s="1263" t="s">
        <v>393</v>
      </c>
      <c r="AC56" s="1284"/>
      <c r="AD56" s="1285">
        <v>1</v>
      </c>
      <c r="AE56" s="1284"/>
      <c r="AF56" s="1282">
        <f t="shared" si="30"/>
        <v>-1058638</v>
      </c>
      <c r="AG56" s="1284"/>
      <c r="AH56" s="1196">
        <v>283</v>
      </c>
      <c r="AI56" s="1190"/>
    </row>
    <row r="57" spans="2:35">
      <c r="B57" s="1196">
        <f t="shared" si="31"/>
        <v>41</v>
      </c>
      <c r="C57" s="1255" t="s">
        <v>1360</v>
      </c>
      <c r="D57" s="1280" t="s">
        <v>1314</v>
      </c>
      <c r="E57" s="1255" t="s">
        <v>855</v>
      </c>
      <c r="F57" s="1286">
        <v>-50770189.93</v>
      </c>
      <c r="G57" s="1287">
        <f t="shared" si="21"/>
        <v>-17769566.475499999</v>
      </c>
      <c r="H57" s="1286">
        <v>-4188540.6692250003</v>
      </c>
      <c r="I57" s="1287">
        <f t="shared" si="22"/>
        <v>1465989.23422875</v>
      </c>
      <c r="J57" s="1287">
        <f t="shared" si="23"/>
        <v>-20492117.91049625</v>
      </c>
      <c r="K57" s="1288"/>
      <c r="L57" s="1286">
        <f t="shared" si="24"/>
        <v>-50770189.93</v>
      </c>
      <c r="M57" s="1287">
        <f t="shared" si="25"/>
        <v>-10661739.885299999</v>
      </c>
      <c r="N57" s="1286">
        <v>-4188540.6692250003</v>
      </c>
      <c r="O57" s="1287">
        <f t="shared" si="26"/>
        <v>879593.54053725</v>
      </c>
      <c r="P57" s="1287">
        <f t="shared" si="27"/>
        <v>-13970687.01398775</v>
      </c>
      <c r="Q57" s="1289"/>
      <c r="R57" s="1287">
        <f t="shared" si="28"/>
        <v>-6521430.8965085</v>
      </c>
      <c r="S57" s="1288"/>
      <c r="T57" s="1286">
        <v>-6521430.8965085</v>
      </c>
      <c r="U57" s="1288"/>
      <c r="V57" s="1286">
        <v>0</v>
      </c>
      <c r="W57" s="1288"/>
      <c r="X57" s="1287">
        <f t="shared" si="29"/>
        <v>0</v>
      </c>
      <c r="Y57" s="1283"/>
      <c r="Z57" s="1263" t="s">
        <v>857</v>
      </c>
      <c r="AA57" s="1284"/>
      <c r="AB57" s="1263" t="s">
        <v>392</v>
      </c>
      <c r="AC57" s="1284"/>
      <c r="AD57" s="1285">
        <v>0</v>
      </c>
      <c r="AE57" s="1284"/>
      <c r="AF57" s="1282">
        <f t="shared" si="30"/>
        <v>0</v>
      </c>
      <c r="AG57" s="1284"/>
      <c r="AH57" s="1196">
        <v>283</v>
      </c>
      <c r="AI57" s="1190"/>
    </row>
    <row r="58" spans="2:35">
      <c r="B58" s="1196">
        <f t="shared" si="31"/>
        <v>42</v>
      </c>
      <c r="C58" s="1255" t="s">
        <v>1361</v>
      </c>
      <c r="D58" s="1280" t="s">
        <v>1362</v>
      </c>
      <c r="E58" s="1255" t="s">
        <v>855</v>
      </c>
      <c r="F58" s="1286">
        <v>-13638531.42</v>
      </c>
      <c r="G58" s="1287">
        <f t="shared" si="21"/>
        <v>-4773485.9969999995</v>
      </c>
      <c r="H58" s="1286">
        <v>-1125178.8421500002</v>
      </c>
      <c r="I58" s="1287">
        <f t="shared" si="22"/>
        <v>393812.59475250001</v>
      </c>
      <c r="J58" s="1287">
        <f t="shared" si="23"/>
        <v>-5504852.2443974996</v>
      </c>
      <c r="K58" s="1288"/>
      <c r="L58" s="1286">
        <f t="shared" si="24"/>
        <v>-13638531.42</v>
      </c>
      <c r="M58" s="1287">
        <f t="shared" si="25"/>
        <v>-2864091.5981999999</v>
      </c>
      <c r="N58" s="1286">
        <v>-1125178.8421500002</v>
      </c>
      <c r="O58" s="1287">
        <f t="shared" si="26"/>
        <v>236287.55685150003</v>
      </c>
      <c r="P58" s="1287">
        <f t="shared" si="27"/>
        <v>-3752982.8834985001</v>
      </c>
      <c r="Q58" s="1289"/>
      <c r="R58" s="1287">
        <f t="shared" si="28"/>
        <v>-1751869.3608989995</v>
      </c>
      <c r="S58" s="1288"/>
      <c r="T58" s="1286">
        <v>-1751869.360899</v>
      </c>
      <c r="U58" s="1288"/>
      <c r="V58" s="1286">
        <v>0</v>
      </c>
      <c r="W58" s="1288"/>
      <c r="X58" s="1287">
        <f t="shared" si="29"/>
        <v>4.6566128730773926E-10</v>
      </c>
      <c r="Y58" s="1283"/>
      <c r="Z58" s="1263" t="s">
        <v>857</v>
      </c>
      <c r="AA58" s="1284"/>
      <c r="AB58" s="1263" t="s">
        <v>392</v>
      </c>
      <c r="AC58" s="1284"/>
      <c r="AD58" s="1285">
        <v>0</v>
      </c>
      <c r="AE58" s="1284"/>
      <c r="AF58" s="1282">
        <f t="shared" si="30"/>
        <v>0</v>
      </c>
      <c r="AG58" s="1284"/>
      <c r="AH58" s="1196">
        <v>283</v>
      </c>
      <c r="AI58" s="1190"/>
    </row>
    <row r="59" spans="2:35">
      <c r="B59" s="1196">
        <f t="shared" si="31"/>
        <v>43</v>
      </c>
      <c r="C59" s="1255" t="s">
        <v>1363</v>
      </c>
      <c r="D59" s="1280" t="s">
        <v>1364</v>
      </c>
      <c r="E59" s="1255" t="s">
        <v>855</v>
      </c>
      <c r="F59" s="1286">
        <v>-9924222.6699999999</v>
      </c>
      <c r="G59" s="1287">
        <f t="shared" si="21"/>
        <v>-3473477.9345</v>
      </c>
      <c r="H59" s="1286">
        <v>-818748.37027499999</v>
      </c>
      <c r="I59" s="1287">
        <f t="shared" si="22"/>
        <v>286561.92959625</v>
      </c>
      <c r="J59" s="1287">
        <f t="shared" si="23"/>
        <v>-4005664.3751787501</v>
      </c>
      <c r="K59" s="1288"/>
      <c r="L59" s="1286">
        <f t="shared" si="24"/>
        <v>-9924222.6699999999</v>
      </c>
      <c r="M59" s="1287">
        <f t="shared" si="25"/>
        <v>-2084086.7607</v>
      </c>
      <c r="N59" s="1286">
        <v>-818748.37027499999</v>
      </c>
      <c r="O59" s="1287">
        <f t="shared" si="26"/>
        <v>171937.15775774998</v>
      </c>
      <c r="P59" s="1287">
        <f t="shared" si="27"/>
        <v>-2730897.9732172498</v>
      </c>
      <c r="Q59" s="1289"/>
      <c r="R59" s="1287">
        <f t="shared" si="28"/>
        <v>-1274766.4019615003</v>
      </c>
      <c r="S59" s="1288"/>
      <c r="T59" s="1286">
        <v>-1274766.4019614994</v>
      </c>
      <c r="U59" s="1288"/>
      <c r="V59" s="1286">
        <v>0</v>
      </c>
      <c r="W59" s="1288"/>
      <c r="X59" s="1287">
        <f t="shared" si="29"/>
        <v>-9.3132257461547852E-10</v>
      </c>
      <c r="Y59" s="1283"/>
      <c r="Z59" s="1263" t="s">
        <v>857</v>
      </c>
      <c r="AA59" s="1284"/>
      <c r="AB59" s="1263" t="s">
        <v>392</v>
      </c>
      <c r="AC59" s="1284"/>
      <c r="AD59" s="1285">
        <v>0</v>
      </c>
      <c r="AE59" s="1284"/>
      <c r="AF59" s="1282">
        <f>X59*AD59</f>
        <v>0</v>
      </c>
      <c r="AG59" s="1284"/>
      <c r="AH59" s="1196">
        <v>283</v>
      </c>
      <c r="AI59" s="1190"/>
    </row>
    <row r="60" spans="2:35">
      <c r="B60" s="1196">
        <f t="shared" si="31"/>
        <v>44</v>
      </c>
      <c r="C60" s="1255" t="s">
        <v>1365</v>
      </c>
      <c r="D60" s="1280" t="s">
        <v>1366</v>
      </c>
      <c r="E60" s="1255" t="s">
        <v>855</v>
      </c>
      <c r="F60" s="1286">
        <v>-299295</v>
      </c>
      <c r="G60" s="1287">
        <f t="shared" si="21"/>
        <v>-104753.25</v>
      </c>
      <c r="H60" s="1286">
        <v>-24691.837500000001</v>
      </c>
      <c r="I60" s="1287">
        <f t="shared" si="22"/>
        <v>8642.1431250000005</v>
      </c>
      <c r="J60" s="1287">
        <f t="shared" si="23"/>
        <v>-120802.94437499999</v>
      </c>
      <c r="K60" s="1288"/>
      <c r="L60" s="1286">
        <f t="shared" si="24"/>
        <v>-299295</v>
      </c>
      <c r="M60" s="1287">
        <f t="shared" si="25"/>
        <v>-62851.95</v>
      </c>
      <c r="N60" s="1286">
        <v>-24691.837500000001</v>
      </c>
      <c r="O60" s="1287">
        <f t="shared" si="26"/>
        <v>5185.2858750000005</v>
      </c>
      <c r="P60" s="1287">
        <f t="shared" si="27"/>
        <v>-82358.501625000004</v>
      </c>
      <c r="Q60" s="1289"/>
      <c r="R60" s="1287">
        <f t="shared" si="28"/>
        <v>-38444.442749999987</v>
      </c>
      <c r="S60" s="1288"/>
      <c r="T60" s="1286">
        <v>0</v>
      </c>
      <c r="U60" s="1288"/>
      <c r="V60" s="1286">
        <v>0</v>
      </c>
      <c r="W60" s="1288"/>
      <c r="X60" s="1287">
        <f t="shared" si="29"/>
        <v>-38444.442749999987</v>
      </c>
      <c r="Y60" s="1283"/>
      <c r="Z60" s="1263" t="s">
        <v>856</v>
      </c>
      <c r="AA60" s="1284"/>
      <c r="AB60" s="1263" t="s">
        <v>392</v>
      </c>
      <c r="AC60" s="1284"/>
      <c r="AD60" s="1285">
        <v>0</v>
      </c>
      <c r="AE60" s="1284"/>
      <c r="AF60" s="1282">
        <f t="shared" si="30"/>
        <v>0</v>
      </c>
      <c r="AG60" s="1284"/>
      <c r="AH60" s="1196">
        <v>283</v>
      </c>
      <c r="AI60" s="1190"/>
    </row>
    <row r="61" spans="2:35">
      <c r="B61" s="1196">
        <f t="shared" si="31"/>
        <v>45</v>
      </c>
      <c r="C61" s="1255" t="s">
        <v>1367</v>
      </c>
      <c r="D61" s="1280" t="s">
        <v>1310</v>
      </c>
      <c r="E61" s="1255" t="s">
        <v>855</v>
      </c>
      <c r="F61" s="1286">
        <v>-222367</v>
      </c>
      <c r="G61" s="1287">
        <f t="shared" si="21"/>
        <v>-77828.45</v>
      </c>
      <c r="H61" s="1286">
        <v>-18345.2775</v>
      </c>
      <c r="I61" s="1287">
        <f t="shared" si="22"/>
        <v>6420.8471249999993</v>
      </c>
      <c r="J61" s="1287">
        <f t="shared" si="23"/>
        <v>-89752.880374999993</v>
      </c>
      <c r="K61" s="1288"/>
      <c r="L61" s="1286">
        <f t="shared" si="24"/>
        <v>-222367</v>
      </c>
      <c r="M61" s="1287">
        <f t="shared" si="25"/>
        <v>-46697.07</v>
      </c>
      <c r="N61" s="1286">
        <v>-18345.2775</v>
      </c>
      <c r="O61" s="1287">
        <f t="shared" si="26"/>
        <v>3852.5082749999997</v>
      </c>
      <c r="P61" s="1287">
        <f t="shared" si="27"/>
        <v>-61189.839225000003</v>
      </c>
      <c r="Q61" s="1289"/>
      <c r="R61" s="1287">
        <f t="shared" si="28"/>
        <v>-28563.04114999999</v>
      </c>
      <c r="S61" s="1288"/>
      <c r="T61" s="1286">
        <v>0</v>
      </c>
      <c r="U61" s="1288"/>
      <c r="V61" s="1286">
        <v>0</v>
      </c>
      <c r="W61" s="1288"/>
      <c r="X61" s="1287">
        <f t="shared" si="29"/>
        <v>-28563.04114999999</v>
      </c>
      <c r="Y61" s="1283"/>
      <c r="Z61" s="1263" t="s">
        <v>856</v>
      </c>
      <c r="AA61" s="1284"/>
      <c r="AB61" s="1263" t="s">
        <v>392</v>
      </c>
      <c r="AC61" s="1284"/>
      <c r="AD61" s="1285">
        <v>0</v>
      </c>
      <c r="AE61" s="1284"/>
      <c r="AF61" s="1282">
        <f t="shared" si="30"/>
        <v>0</v>
      </c>
      <c r="AG61" s="1284"/>
      <c r="AH61" s="1196">
        <v>283</v>
      </c>
      <c r="AI61" s="1190"/>
    </row>
    <row r="62" spans="2:35">
      <c r="B62" s="1196">
        <f t="shared" si="31"/>
        <v>46</v>
      </c>
      <c r="C62" s="1255" t="s">
        <v>1368</v>
      </c>
      <c r="D62" s="1280" t="s">
        <v>1369</v>
      </c>
      <c r="E62" s="1255" t="s">
        <v>855</v>
      </c>
      <c r="F62" s="1286">
        <v>-660629</v>
      </c>
      <c r="G62" s="1287">
        <f t="shared" si="21"/>
        <v>-231220.15</v>
      </c>
      <c r="H62" s="1286">
        <v>-54501.892500000002</v>
      </c>
      <c r="I62" s="1287">
        <f t="shared" si="22"/>
        <v>19075.662375</v>
      </c>
      <c r="J62" s="1287">
        <f t="shared" si="23"/>
        <v>-266646.38012500003</v>
      </c>
      <c r="K62" s="1288"/>
      <c r="L62" s="1286">
        <f t="shared" si="24"/>
        <v>-660629</v>
      </c>
      <c r="M62" s="1287">
        <f t="shared" si="25"/>
        <v>-138732.09</v>
      </c>
      <c r="N62" s="1286">
        <v>-54501.892500000002</v>
      </c>
      <c r="O62" s="1287">
        <f t="shared" si="26"/>
        <v>11445.397424999999</v>
      </c>
      <c r="P62" s="1287">
        <f t="shared" si="27"/>
        <v>-181788.58507500001</v>
      </c>
      <c r="Q62" s="1289"/>
      <c r="R62" s="1287">
        <f t="shared" si="28"/>
        <v>-84857.795050000015</v>
      </c>
      <c r="S62" s="1288"/>
      <c r="T62" s="1286">
        <v>0</v>
      </c>
      <c r="U62" s="1288"/>
      <c r="V62" s="1286">
        <v>0</v>
      </c>
      <c r="W62" s="1288"/>
      <c r="X62" s="1287">
        <f t="shared" si="29"/>
        <v>-84857.795050000015</v>
      </c>
      <c r="Y62" s="1283"/>
      <c r="Z62" s="1263" t="s">
        <v>856</v>
      </c>
      <c r="AA62" s="1284"/>
      <c r="AB62" s="1263" t="s">
        <v>392</v>
      </c>
      <c r="AC62" s="1284"/>
      <c r="AD62" s="1285">
        <v>0</v>
      </c>
      <c r="AE62" s="1284"/>
      <c r="AF62" s="1282">
        <f t="shared" si="30"/>
        <v>0</v>
      </c>
      <c r="AG62" s="1284"/>
      <c r="AH62" s="1196">
        <v>283</v>
      </c>
      <c r="AI62" s="1190"/>
    </row>
    <row r="63" spans="2:35">
      <c r="B63" s="1196">
        <f t="shared" si="31"/>
        <v>47</v>
      </c>
      <c r="C63" s="1255" t="s">
        <v>1370</v>
      </c>
      <c r="D63" s="1280" t="s">
        <v>1371</v>
      </c>
      <c r="E63" s="1255" t="s">
        <v>855</v>
      </c>
      <c r="F63" s="1286">
        <v>-523652</v>
      </c>
      <c r="G63" s="1287">
        <f t="shared" si="21"/>
        <v>-183278.19999999998</v>
      </c>
      <c r="H63" s="1286">
        <v>-43201.29</v>
      </c>
      <c r="I63" s="1287">
        <f t="shared" si="22"/>
        <v>15120.451499999999</v>
      </c>
      <c r="J63" s="1287">
        <f t="shared" si="23"/>
        <v>-211359.0385</v>
      </c>
      <c r="K63" s="1288"/>
      <c r="L63" s="1286">
        <f t="shared" si="24"/>
        <v>-523652</v>
      </c>
      <c r="M63" s="1287">
        <f t="shared" si="25"/>
        <v>-109966.92</v>
      </c>
      <c r="N63" s="1286">
        <v>-43201.29</v>
      </c>
      <c r="O63" s="1287">
        <f t="shared" si="26"/>
        <v>9072.2708999999995</v>
      </c>
      <c r="P63" s="1287">
        <f t="shared" si="27"/>
        <v>-144095.93909999999</v>
      </c>
      <c r="Q63" s="1289"/>
      <c r="R63" s="1287">
        <f t="shared" si="28"/>
        <v>-67263.099400000006</v>
      </c>
      <c r="S63" s="1288"/>
      <c r="T63" s="1286">
        <v>0</v>
      </c>
      <c r="U63" s="1288"/>
      <c r="V63" s="1286">
        <v>0</v>
      </c>
      <c r="W63" s="1288"/>
      <c r="X63" s="1287">
        <f t="shared" si="29"/>
        <v>-67263.099400000006</v>
      </c>
      <c r="Y63" s="1283"/>
      <c r="Z63" s="1263" t="s">
        <v>856</v>
      </c>
      <c r="AA63" s="1284"/>
      <c r="AB63" s="1263" t="s">
        <v>392</v>
      </c>
      <c r="AC63" s="1284"/>
      <c r="AD63" s="1285">
        <v>0</v>
      </c>
      <c r="AE63" s="1284"/>
      <c r="AF63" s="1282">
        <f t="shared" si="30"/>
        <v>0</v>
      </c>
      <c r="AG63" s="1284"/>
      <c r="AH63" s="1196">
        <v>283</v>
      </c>
      <c r="AI63" s="1190"/>
    </row>
    <row r="64" spans="2:35">
      <c r="B64" s="1196">
        <f t="shared" si="31"/>
        <v>48</v>
      </c>
      <c r="C64" s="1255" t="s">
        <v>1372</v>
      </c>
      <c r="D64" s="1280" t="s">
        <v>1372</v>
      </c>
      <c r="E64" s="1255" t="s">
        <v>855</v>
      </c>
      <c r="F64" s="1286">
        <v>-5733544</v>
      </c>
      <c r="G64" s="1287">
        <f t="shared" si="21"/>
        <v>-2006740.4</v>
      </c>
      <c r="H64" s="1286">
        <v>-473017.38</v>
      </c>
      <c r="I64" s="1287">
        <f t="shared" si="22"/>
        <v>165556.08299999998</v>
      </c>
      <c r="J64" s="1287">
        <f t="shared" si="23"/>
        <v>-2314201.6969999997</v>
      </c>
      <c r="K64" s="1288"/>
      <c r="L64" s="1286">
        <f t="shared" si="24"/>
        <v>-5733544</v>
      </c>
      <c r="M64" s="1287">
        <f t="shared" si="25"/>
        <v>-1204044.24</v>
      </c>
      <c r="N64" s="1286">
        <v>-473017.38</v>
      </c>
      <c r="O64" s="1287">
        <f t="shared" si="26"/>
        <v>99333.649799999999</v>
      </c>
      <c r="P64" s="1287">
        <f t="shared" si="27"/>
        <v>-1577727.9701999999</v>
      </c>
      <c r="Q64" s="1289"/>
      <c r="R64" s="1287">
        <f t="shared" si="28"/>
        <v>-736473.72679999983</v>
      </c>
      <c r="S64" s="1288"/>
      <c r="T64" s="1286">
        <v>0</v>
      </c>
      <c r="U64" s="1288"/>
      <c r="V64" s="1286">
        <v>0</v>
      </c>
      <c r="W64" s="1288"/>
      <c r="X64" s="1287">
        <f t="shared" si="29"/>
        <v>-736473.72679999983</v>
      </c>
      <c r="Y64" s="1283"/>
      <c r="Z64" s="1263" t="s">
        <v>856</v>
      </c>
      <c r="AA64" s="1284"/>
      <c r="AB64" s="1263" t="s">
        <v>392</v>
      </c>
      <c r="AC64" s="1284"/>
      <c r="AD64" s="1285">
        <v>0</v>
      </c>
      <c r="AE64" s="1284"/>
      <c r="AF64" s="1282">
        <f t="shared" si="30"/>
        <v>0</v>
      </c>
      <c r="AG64" s="1284"/>
      <c r="AH64" s="1196">
        <v>283</v>
      </c>
      <c r="AI64" s="1190"/>
    </row>
    <row r="65" spans="2:35">
      <c r="B65" s="1196">
        <f t="shared" si="31"/>
        <v>49</v>
      </c>
      <c r="C65" s="1255" t="s">
        <v>1373</v>
      </c>
      <c r="D65" s="1280" t="s">
        <v>1308</v>
      </c>
      <c r="E65" s="1255" t="s">
        <v>855</v>
      </c>
      <c r="F65" s="1286">
        <v>1829706</v>
      </c>
      <c r="G65" s="1287">
        <f t="shared" si="21"/>
        <v>640397.1</v>
      </c>
      <c r="H65" s="1286">
        <v>150950.745</v>
      </c>
      <c r="I65" s="1287">
        <f t="shared" si="22"/>
        <v>-52832.760749999994</v>
      </c>
      <c r="J65" s="1287">
        <f t="shared" si="23"/>
        <v>738515.08424999996</v>
      </c>
      <c r="K65" s="1288"/>
      <c r="L65" s="1286">
        <f t="shared" si="24"/>
        <v>1829706</v>
      </c>
      <c r="M65" s="1287">
        <f t="shared" si="25"/>
        <v>384238.26</v>
      </c>
      <c r="N65" s="1286">
        <v>150950.745</v>
      </c>
      <c r="O65" s="1287">
        <f t="shared" si="26"/>
        <v>-31699.656449999999</v>
      </c>
      <c r="P65" s="1287">
        <f t="shared" si="27"/>
        <v>503489.34855</v>
      </c>
      <c r="Q65" s="1289"/>
      <c r="R65" s="1287">
        <f t="shared" si="28"/>
        <v>235025.73569999996</v>
      </c>
      <c r="S65" s="1288"/>
      <c r="T65" s="1286">
        <v>0</v>
      </c>
      <c r="U65" s="1288"/>
      <c r="V65" s="1286">
        <v>0</v>
      </c>
      <c r="W65" s="1288"/>
      <c r="X65" s="1287">
        <f t="shared" si="29"/>
        <v>235025.73569999996</v>
      </c>
      <c r="Y65" s="1283"/>
      <c r="Z65" s="1263" t="s">
        <v>856</v>
      </c>
      <c r="AA65" s="1284"/>
      <c r="AB65" s="1263" t="s">
        <v>392</v>
      </c>
      <c r="AC65" s="1284"/>
      <c r="AD65" s="1285">
        <v>0</v>
      </c>
      <c r="AE65" s="1284"/>
      <c r="AF65" s="1282">
        <f t="shared" si="30"/>
        <v>0</v>
      </c>
      <c r="AG65" s="1284"/>
      <c r="AH65" s="1196">
        <v>283</v>
      </c>
      <c r="AI65" s="1190"/>
    </row>
    <row r="66" spans="2:35">
      <c r="B66" s="1196">
        <f t="shared" si="31"/>
        <v>50</v>
      </c>
      <c r="C66" s="1255" t="s">
        <v>1374</v>
      </c>
      <c r="D66" s="1280" t="s">
        <v>1309</v>
      </c>
      <c r="E66" s="1255" t="s">
        <v>855</v>
      </c>
      <c r="F66" s="1286">
        <v>154375</v>
      </c>
      <c r="G66" s="1287">
        <f t="shared" si="21"/>
        <v>54031.25</v>
      </c>
      <c r="H66" s="1286">
        <v>12735.9375</v>
      </c>
      <c r="I66" s="1287">
        <f t="shared" si="22"/>
        <v>-4457.578125</v>
      </c>
      <c r="J66" s="1287">
        <f t="shared" si="23"/>
        <v>62309.609375</v>
      </c>
      <c r="K66" s="1288"/>
      <c r="L66" s="1286">
        <f t="shared" si="24"/>
        <v>154375</v>
      </c>
      <c r="M66" s="1287">
        <f t="shared" si="25"/>
        <v>32418.75</v>
      </c>
      <c r="N66" s="1286">
        <v>12735.9375</v>
      </c>
      <c r="O66" s="1287">
        <f t="shared" si="26"/>
        <v>-2674.546875</v>
      </c>
      <c r="P66" s="1287">
        <f t="shared" si="27"/>
        <v>42480.140625</v>
      </c>
      <c r="Q66" s="1289"/>
      <c r="R66" s="1287">
        <f t="shared" si="28"/>
        <v>19829.46875</v>
      </c>
      <c r="S66" s="1288"/>
      <c r="T66" s="1286">
        <v>19829</v>
      </c>
      <c r="U66" s="1288"/>
      <c r="V66" s="1286">
        <v>0</v>
      </c>
      <c r="W66" s="1288"/>
      <c r="X66" s="1287">
        <f t="shared" si="29"/>
        <v>0.46875</v>
      </c>
      <c r="Y66" s="1283"/>
      <c r="Z66" s="1263" t="s">
        <v>857</v>
      </c>
      <c r="AA66" s="1284"/>
      <c r="AB66" s="1263" t="s">
        <v>392</v>
      </c>
      <c r="AC66" s="1284"/>
      <c r="AD66" s="1285">
        <v>0</v>
      </c>
      <c r="AE66" s="1284"/>
      <c r="AF66" s="1282">
        <f t="shared" si="30"/>
        <v>0</v>
      </c>
      <c r="AG66" s="1284"/>
      <c r="AH66" s="1196">
        <v>283</v>
      </c>
      <c r="AI66" s="1190"/>
    </row>
    <row r="67" spans="2:35">
      <c r="B67" s="1196">
        <f t="shared" si="31"/>
        <v>51</v>
      </c>
      <c r="C67" s="1255" t="s">
        <v>1375</v>
      </c>
      <c r="D67" s="1280" t="s">
        <v>1376</v>
      </c>
      <c r="E67" s="1255" t="s">
        <v>855</v>
      </c>
      <c r="F67" s="1286">
        <v>154500.64999999979</v>
      </c>
      <c r="G67" s="1287">
        <f t="shared" si="21"/>
        <v>54075.227499999921</v>
      </c>
      <c r="H67" s="1286">
        <v>12746.303624999984</v>
      </c>
      <c r="I67" s="1287">
        <f t="shared" si="22"/>
        <v>-4461.2062687499938</v>
      </c>
      <c r="J67" s="1287">
        <f t="shared" si="23"/>
        <v>62360.324856249914</v>
      </c>
      <c r="K67" s="1288"/>
      <c r="L67" s="1286">
        <f t="shared" si="24"/>
        <v>154500.64999999979</v>
      </c>
      <c r="M67" s="1287">
        <f t="shared" si="25"/>
        <v>32445.136499999953</v>
      </c>
      <c r="N67" s="1286">
        <v>12746.303624999984</v>
      </c>
      <c r="O67" s="1287">
        <f t="shared" si="26"/>
        <v>-2676.7237612499966</v>
      </c>
      <c r="P67" s="1287">
        <f t="shared" si="27"/>
        <v>42514.71636374994</v>
      </c>
      <c r="Q67" s="1289"/>
      <c r="R67" s="1287">
        <f t="shared" si="28"/>
        <v>19845.608492499974</v>
      </c>
      <c r="S67" s="1288"/>
      <c r="T67" s="1286">
        <v>0</v>
      </c>
      <c r="U67" s="1288"/>
      <c r="V67" s="1286">
        <v>0</v>
      </c>
      <c r="W67" s="1288"/>
      <c r="X67" s="1287">
        <f t="shared" si="29"/>
        <v>19845.608492499974</v>
      </c>
      <c r="Y67" s="1283"/>
      <c r="Z67" s="1263" t="s">
        <v>856</v>
      </c>
      <c r="AA67" s="1284"/>
      <c r="AB67" s="1263" t="s">
        <v>392</v>
      </c>
      <c r="AC67" s="1284"/>
      <c r="AD67" s="1285">
        <v>0</v>
      </c>
      <c r="AE67" s="1284"/>
      <c r="AF67" s="1282">
        <f t="shared" si="30"/>
        <v>0</v>
      </c>
      <c r="AG67" s="1284"/>
      <c r="AH67" s="1196">
        <v>283</v>
      </c>
      <c r="AI67" s="1190"/>
    </row>
    <row r="68" spans="2:35">
      <c r="B68" s="1196">
        <f t="shared" si="31"/>
        <v>52</v>
      </c>
      <c r="C68" s="1255" t="s">
        <v>1377</v>
      </c>
      <c r="D68" s="1280" t="s">
        <v>1378</v>
      </c>
      <c r="E68" s="1255" t="s">
        <v>855</v>
      </c>
      <c r="F68" s="1286">
        <v>-1615862</v>
      </c>
      <c r="G68" s="1287">
        <f t="shared" si="21"/>
        <v>-565551.69999999995</v>
      </c>
      <c r="H68" s="1286">
        <v>-133308.61500000002</v>
      </c>
      <c r="I68" s="1287">
        <f t="shared" si="22"/>
        <v>46658.015250000004</v>
      </c>
      <c r="J68" s="1287">
        <f t="shared" si="23"/>
        <v>-652202.29975000001</v>
      </c>
      <c r="K68" s="1288"/>
      <c r="L68" s="1286">
        <f t="shared" si="24"/>
        <v>-1615862</v>
      </c>
      <c r="M68" s="1287">
        <f t="shared" si="25"/>
        <v>-339331.01999999996</v>
      </c>
      <c r="N68" s="1286">
        <v>-133308.61500000002</v>
      </c>
      <c r="O68" s="1287">
        <f t="shared" si="26"/>
        <v>27994.809150000005</v>
      </c>
      <c r="P68" s="1287">
        <f t="shared" si="27"/>
        <v>-444644.82585000002</v>
      </c>
      <c r="Q68" s="1289"/>
      <c r="R68" s="1287">
        <f t="shared" si="28"/>
        <v>-207557.47389999998</v>
      </c>
      <c r="S68" s="1288"/>
      <c r="T68" s="1286">
        <v>-182681</v>
      </c>
      <c r="U68" s="1288"/>
      <c r="V68" s="1286">
        <v>0</v>
      </c>
      <c r="W68" s="1288"/>
      <c r="X68" s="1287">
        <f t="shared" si="29"/>
        <v>-24876.473899999983</v>
      </c>
      <c r="Y68" s="1283"/>
      <c r="Z68" s="1263" t="s">
        <v>1329</v>
      </c>
      <c r="AA68" s="1284"/>
      <c r="AB68" s="1263" t="s">
        <v>393</v>
      </c>
      <c r="AC68" s="1284"/>
      <c r="AD68" s="1285">
        <v>1</v>
      </c>
      <c r="AE68" s="1284"/>
      <c r="AF68" s="1282">
        <f t="shared" si="30"/>
        <v>-24876.473899999983</v>
      </c>
      <c r="AG68" s="1284"/>
      <c r="AH68" s="1196">
        <v>283</v>
      </c>
      <c r="AI68" s="1190"/>
    </row>
    <row r="69" spans="2:35">
      <c r="B69" s="1196">
        <f t="shared" si="31"/>
        <v>53</v>
      </c>
      <c r="C69" s="1255" t="s">
        <v>1379</v>
      </c>
      <c r="D69" s="1280" t="s">
        <v>1355</v>
      </c>
      <c r="E69" s="1255" t="s">
        <v>855</v>
      </c>
      <c r="F69" s="1286">
        <v>-510580</v>
      </c>
      <c r="G69" s="1287">
        <f t="shared" si="21"/>
        <v>-178703</v>
      </c>
      <c r="H69" s="1286">
        <v>-42122.85</v>
      </c>
      <c r="I69" s="1287">
        <f t="shared" si="22"/>
        <v>14742.997499999998</v>
      </c>
      <c r="J69" s="1287">
        <f t="shared" si="23"/>
        <v>-206082.85250000001</v>
      </c>
      <c r="K69" s="1288"/>
      <c r="L69" s="1286">
        <f t="shared" si="24"/>
        <v>-510580</v>
      </c>
      <c r="M69" s="1287">
        <f t="shared" si="25"/>
        <v>-107221.8</v>
      </c>
      <c r="N69" s="1286">
        <v>-42122.85</v>
      </c>
      <c r="O69" s="1287">
        <f t="shared" si="26"/>
        <v>8845.798499999999</v>
      </c>
      <c r="P69" s="1287">
        <f t="shared" si="27"/>
        <v>-140498.85149999999</v>
      </c>
      <c r="Q69" s="1289"/>
      <c r="R69" s="1287">
        <f t="shared" si="28"/>
        <v>-65584.001000000018</v>
      </c>
      <c r="S69" s="1288"/>
      <c r="T69" s="1286">
        <v>0</v>
      </c>
      <c r="U69" s="1288"/>
      <c r="V69" s="1286">
        <v>0</v>
      </c>
      <c r="W69" s="1288"/>
      <c r="X69" s="1287">
        <f t="shared" si="29"/>
        <v>-65584.001000000018</v>
      </c>
      <c r="Y69" s="1283"/>
      <c r="Z69" s="1263" t="s">
        <v>856</v>
      </c>
      <c r="AA69" s="1284"/>
      <c r="AB69" s="1263" t="s">
        <v>392</v>
      </c>
      <c r="AC69" s="1284"/>
      <c r="AD69" s="1285">
        <v>0</v>
      </c>
      <c r="AE69" s="1284"/>
      <c r="AF69" s="1282">
        <f t="shared" si="30"/>
        <v>0</v>
      </c>
      <c r="AG69" s="1284"/>
      <c r="AH69" s="1196">
        <v>283</v>
      </c>
      <c r="AI69" s="1263"/>
    </row>
    <row r="70" spans="2:35">
      <c r="B70" s="1196">
        <f t="shared" si="31"/>
        <v>54</v>
      </c>
      <c r="C70" s="1255" t="s">
        <v>1380</v>
      </c>
      <c r="D70" s="1280" t="s">
        <v>750</v>
      </c>
      <c r="E70" s="1255" t="s">
        <v>855</v>
      </c>
      <c r="F70" s="1286">
        <v>3167717</v>
      </c>
      <c r="G70" s="1287">
        <f t="shared" si="21"/>
        <v>1108700.95</v>
      </c>
      <c r="H70" s="1286">
        <v>261336.65250000003</v>
      </c>
      <c r="I70" s="1287">
        <f t="shared" si="22"/>
        <v>-91467.828374999997</v>
      </c>
      <c r="J70" s="1287">
        <f t="shared" si="23"/>
        <v>1278569.774125</v>
      </c>
      <c r="K70" s="1288"/>
      <c r="L70" s="1286">
        <f t="shared" si="24"/>
        <v>3167717</v>
      </c>
      <c r="M70" s="1287">
        <f t="shared" si="25"/>
        <v>665220.56999999995</v>
      </c>
      <c r="N70" s="1286">
        <v>261336.65250000003</v>
      </c>
      <c r="O70" s="1287">
        <f t="shared" si="26"/>
        <v>-54880.697025000001</v>
      </c>
      <c r="P70" s="1287">
        <f t="shared" si="27"/>
        <v>871676.52547500003</v>
      </c>
      <c r="Q70" s="1289"/>
      <c r="R70" s="1287">
        <f t="shared" si="28"/>
        <v>406893.24864999996</v>
      </c>
      <c r="S70" s="1288"/>
      <c r="T70" s="1286">
        <f>583228-176335</f>
        <v>406893</v>
      </c>
      <c r="U70" s="1288"/>
      <c r="V70" s="1286">
        <v>0</v>
      </c>
      <c r="W70" s="1288"/>
      <c r="X70" s="1287">
        <f t="shared" si="29"/>
        <v>0.24864999996498227</v>
      </c>
      <c r="Y70" s="1283"/>
      <c r="Z70" s="1263" t="s">
        <v>857</v>
      </c>
      <c r="AA70" s="1284"/>
      <c r="AB70" s="1263" t="s">
        <v>392</v>
      </c>
      <c r="AC70" s="1284"/>
      <c r="AD70" s="1285">
        <v>0</v>
      </c>
      <c r="AE70" s="1284"/>
      <c r="AF70" s="1282">
        <f t="shared" si="30"/>
        <v>0</v>
      </c>
      <c r="AG70" s="1284"/>
      <c r="AH70" s="1196">
        <v>283</v>
      </c>
      <c r="AI70" s="1190"/>
    </row>
    <row r="71" spans="2:35" ht="13">
      <c r="B71" s="1196">
        <f t="shared" si="31"/>
        <v>55</v>
      </c>
      <c r="C71" s="1290" t="s">
        <v>868</v>
      </c>
      <c r="D71" s="1263"/>
      <c r="E71" s="1263"/>
      <c r="F71" s="1291">
        <f>SUM(F50:F70)</f>
        <v>-686342164.54999983</v>
      </c>
      <c r="G71" s="1291">
        <f>SUM(G50:G70)</f>
        <v>-240219757.59249997</v>
      </c>
      <c r="H71" s="1291">
        <f>SUM(H50:H70)</f>
        <v>-56606644.425375</v>
      </c>
      <c r="I71" s="1291">
        <f>SUM(I50:I70)</f>
        <v>19812325.548881248</v>
      </c>
      <c r="J71" s="1291">
        <f>SUM(J50:J70)</f>
        <v>-277014076.46899384</v>
      </c>
      <c r="K71" s="1283"/>
      <c r="L71" s="1291">
        <f>SUM(L50:L70)</f>
        <v>-686342164.54999983</v>
      </c>
      <c r="M71" s="1291">
        <f>SUM(M50:M70)</f>
        <v>-144131854.55549997</v>
      </c>
      <c r="N71" s="1291">
        <f>SUM(N50:N70)</f>
        <v>-56609583.388666138</v>
      </c>
      <c r="O71" s="1291">
        <f>SUM(O50:O70)</f>
        <v>11888012.51161989</v>
      </c>
      <c r="P71" s="1291">
        <f>SUM(P50:P70)</f>
        <v>-188853425.4325462</v>
      </c>
      <c r="R71" s="1291">
        <f>SUM(R50:R70)</f>
        <v>-88160651.03644754</v>
      </c>
      <c r="S71" s="1283"/>
      <c r="T71" s="1291">
        <f>SUM(T50:T70)</f>
        <v>-20840252.118069999</v>
      </c>
      <c r="U71" s="1283"/>
      <c r="V71" s="1291">
        <f>SUM(V50:V70)</f>
        <v>0</v>
      </c>
      <c r="W71" s="1283"/>
      <c r="X71" s="1291">
        <f>SUM(X50:X70)</f>
        <v>-67320398.918377519</v>
      </c>
      <c r="Y71" s="1283"/>
      <c r="Z71" s="1263"/>
      <c r="AA71" s="1284"/>
      <c r="AB71" s="1263"/>
      <c r="AC71" s="1284"/>
      <c r="AD71" s="1284"/>
      <c r="AE71" s="1284"/>
      <c r="AF71" s="1291">
        <f>SUM(AF50:AF70)</f>
        <v>-1259450.4739000001</v>
      </c>
      <c r="AG71" s="1284"/>
      <c r="AI71" s="1263"/>
    </row>
    <row r="72" spans="2:35">
      <c r="B72" s="1196"/>
      <c r="D72" s="1056"/>
      <c r="F72" s="1282"/>
      <c r="G72" s="1282"/>
      <c r="H72" s="1282"/>
      <c r="I72" s="1282"/>
      <c r="J72" s="1282"/>
      <c r="K72" s="1284"/>
      <c r="P72" s="1282"/>
      <c r="R72" s="1282"/>
      <c r="S72" s="1284"/>
      <c r="T72" s="1282"/>
      <c r="U72" s="1284"/>
      <c r="V72" s="1282"/>
      <c r="W72" s="1284"/>
      <c r="X72" s="1282"/>
      <c r="Y72" s="1284"/>
      <c r="AA72" s="1284"/>
      <c r="AC72" s="1284"/>
      <c r="AD72" s="1284"/>
      <c r="AE72" s="1284"/>
      <c r="AF72" s="1282"/>
      <c r="AG72" s="1284"/>
      <c r="AI72" s="1056"/>
    </row>
    <row r="73" spans="2:35" ht="13.5" thickBot="1">
      <c r="B73" s="1196">
        <f>+B71+1</f>
        <v>56</v>
      </c>
      <c r="C73" s="1290" t="s">
        <v>869</v>
      </c>
      <c r="D73" s="1056"/>
      <c r="E73" s="1057"/>
      <c r="F73" s="1293">
        <f>F36+F47+F71</f>
        <v>-6213251552.3296776</v>
      </c>
      <c r="G73" s="1293">
        <f>G36+G47+G71</f>
        <v>-2174638043.3153868</v>
      </c>
      <c r="H73" s="1293">
        <f>H36+H47+H71</f>
        <v>-333531222.33859837</v>
      </c>
      <c r="I73" s="1293">
        <f>I36+I47+I71</f>
        <v>116735927.81850943</v>
      </c>
      <c r="J73" s="1293">
        <f>J36+J47+J71</f>
        <v>-2389417972.8354754</v>
      </c>
      <c r="K73" s="1284"/>
      <c r="L73" s="1293">
        <f>L36+L47+L71</f>
        <v>-5071564470.0219593</v>
      </c>
      <c r="M73" s="1293">
        <f>M36+M47+M71</f>
        <v>-1065028538.7046113</v>
      </c>
      <c r="N73" s="1293">
        <f>N36+N47+N71</f>
        <v>-239342038.03718662</v>
      </c>
      <c r="O73" s="1293">
        <f>O36+O47+O71</f>
        <v>50261827.987809196</v>
      </c>
      <c r="P73" s="1293">
        <f>P36+P47+P71</f>
        <v>-1253340310.7539887</v>
      </c>
      <c r="R73" s="1293">
        <f>R36+R47+R71</f>
        <v>-1136077662.0814872</v>
      </c>
      <c r="S73" s="1284"/>
      <c r="T73" s="1293">
        <f>T36+T47+T71</f>
        <v>3995947.8895800039</v>
      </c>
      <c r="U73" s="1284"/>
      <c r="V73" s="1293">
        <f>V36+V47+V71</f>
        <v>-344661048.62098813</v>
      </c>
      <c r="W73" s="1284"/>
      <c r="X73" s="1293">
        <f>X36+X47+X71</f>
        <v>-795412561.35007918</v>
      </c>
      <c r="Y73" s="1284"/>
      <c r="Z73" s="1057"/>
      <c r="AA73" s="1284"/>
      <c r="AB73" s="1057"/>
      <c r="AC73" s="1284"/>
      <c r="AD73" s="1284"/>
      <c r="AE73" s="1284"/>
      <c r="AF73" s="1293">
        <f>AF36+AF47+AF71</f>
        <v>-114887697.26576217</v>
      </c>
      <c r="AG73" s="1284"/>
      <c r="AI73" s="1056"/>
    </row>
    <row r="74" spans="2:35" ht="15.75" customHeight="1" thickTop="1">
      <c r="F74" s="1282"/>
      <c r="G74" s="1282"/>
      <c r="H74" s="1282"/>
      <c r="I74" s="1282"/>
    </row>
    <row r="75" spans="2:35" ht="15.75" customHeight="1">
      <c r="F75" s="1282"/>
      <c r="G75" s="1282"/>
      <c r="H75" s="1282"/>
      <c r="I75" s="1282"/>
    </row>
    <row r="76" spans="2:35">
      <c r="F76" s="1282"/>
      <c r="G76" s="1282"/>
      <c r="H76" s="1282"/>
      <c r="I76" s="1282"/>
      <c r="V76" s="1294" t="s">
        <v>821</v>
      </c>
      <c r="X76" s="1295">
        <f>SUMIF($E$11:$E$74,V76,$X$11:$X$74)</f>
        <v>-464592432.49859989</v>
      </c>
      <c r="AF76" s="1295">
        <f>SUMIF($E:$E,V76,$AF:$AF)</f>
        <v>-70691097.607948944</v>
      </c>
    </row>
    <row r="77" spans="2:35" ht="15.75" customHeight="1">
      <c r="V77" s="1296"/>
      <c r="X77" s="1297"/>
    </row>
    <row r="78" spans="2:35">
      <c r="V78" s="1294" t="s">
        <v>819</v>
      </c>
      <c r="X78" s="1297">
        <f>SUMIF($E$11:$E$74,V78,$X$11:$X$74)</f>
        <v>-248383825.11520982</v>
      </c>
      <c r="AF78" s="1297">
        <f>SUMIF($E:$E,V78,$AF:$AF)</f>
        <v>-37716819.563906267</v>
      </c>
    </row>
    <row r="79" spans="2:35" ht="15.75" customHeight="1">
      <c r="V79" s="1294" t="s">
        <v>855</v>
      </c>
      <c r="X79" s="1297">
        <f>SUMIF($E$11:$E$74,V79,$X$11:$X$74)</f>
        <v>-82436303.736269534</v>
      </c>
      <c r="AF79" s="1297">
        <f>SUMIF($E:$E,V79,$AF:$AF)</f>
        <v>-6479780.0939069409</v>
      </c>
    </row>
    <row r="80" spans="2:35" ht="5.15" customHeight="1">
      <c r="V80" s="1190"/>
      <c r="X80" s="1297"/>
    </row>
    <row r="81" spans="1:35" ht="15.75" customHeight="1">
      <c r="V81" s="1298" t="s">
        <v>893</v>
      </c>
      <c r="X81" s="1299">
        <f>SUM(X78:X80)</f>
        <v>-330820128.85147935</v>
      </c>
      <c r="AF81" s="1299">
        <f>SUM(AF78:AF80)</f>
        <v>-44196599.657813206</v>
      </c>
    </row>
    <row r="82" spans="1:35">
      <c r="V82" s="1296"/>
      <c r="X82" s="1297"/>
      <c r="AF82" s="1297"/>
    </row>
    <row r="83" spans="1:35" ht="15.75" customHeight="1" thickBot="1">
      <c r="T83" s="1300"/>
      <c r="V83" s="1298" t="s">
        <v>1381</v>
      </c>
      <c r="X83" s="1301">
        <f>X76+X81</f>
        <v>-795412561.3500793</v>
      </c>
      <c r="AF83" s="1301">
        <f>AF76+AF81</f>
        <v>-114887697.26576215</v>
      </c>
    </row>
    <row r="84" spans="1:35" ht="15.75" customHeight="1" thickTop="1">
      <c r="V84" s="1300"/>
      <c r="X84" s="1287"/>
      <c r="AF84" s="1287"/>
    </row>
    <row r="85" spans="1:35" ht="15.75" customHeight="1">
      <c r="A85" s="1272"/>
      <c r="B85" s="1272" t="s">
        <v>894</v>
      </c>
      <c r="C85" s="1272"/>
      <c r="D85" s="1272"/>
      <c r="E85" s="1272"/>
      <c r="F85" s="1272"/>
      <c r="G85" s="1272"/>
      <c r="H85" s="1272"/>
      <c r="I85" s="1272"/>
      <c r="J85" s="1272"/>
      <c r="K85" s="1272"/>
      <c r="L85" s="1272"/>
      <c r="M85" s="1272"/>
      <c r="N85" s="1272"/>
      <c r="O85" s="1272"/>
      <c r="P85" s="1272"/>
      <c r="Q85" s="1272"/>
      <c r="R85" s="1272"/>
      <c r="S85" s="1272"/>
      <c r="T85" s="1272"/>
      <c r="U85" s="1272"/>
      <c r="V85" s="1272"/>
      <c r="W85" s="1272"/>
      <c r="X85" s="1272"/>
      <c r="Y85" s="1272"/>
      <c r="Z85" s="1272"/>
      <c r="AA85" s="1272"/>
      <c r="AB85" s="1272"/>
      <c r="AC85" s="1272"/>
      <c r="AD85" s="1272"/>
      <c r="AE85" s="1272"/>
      <c r="AF85" s="1272"/>
      <c r="AG85" s="1272"/>
      <c r="AH85" s="1272"/>
      <c r="AI85" s="1272"/>
    </row>
    <row r="86" spans="1:35" ht="15.75" customHeight="1">
      <c r="V86" s="1300"/>
      <c r="X86" s="1287"/>
      <c r="AF86" s="1287"/>
    </row>
    <row r="87" spans="1:35" ht="15.75" customHeight="1">
      <c r="B87" s="1553" t="s">
        <v>1382</v>
      </c>
      <c r="C87" s="1553"/>
      <c r="D87" s="1553"/>
      <c r="V87" s="1300"/>
      <c r="X87" s="1287"/>
      <c r="AF87" s="1287"/>
    </row>
    <row r="88" spans="1:35" ht="15.75" customHeight="1">
      <c r="B88" s="1553"/>
      <c r="C88" s="1553"/>
      <c r="D88" s="1553"/>
      <c r="V88" s="1300"/>
      <c r="X88" s="1287"/>
      <c r="AF88" s="1287"/>
    </row>
    <row r="89" spans="1:35" ht="15.75" customHeight="1">
      <c r="B89" s="1553"/>
      <c r="C89" s="1553"/>
      <c r="D89" s="1553"/>
      <c r="V89" s="1300"/>
      <c r="X89" s="1287"/>
      <c r="AF89" s="1287"/>
    </row>
    <row r="90" spans="1:35" ht="15.75" customHeight="1">
      <c r="B90" s="1553"/>
      <c r="C90" s="1553"/>
      <c r="D90" s="1553"/>
      <c r="V90" s="1300"/>
      <c r="X90" s="1287"/>
      <c r="AF90" s="1287"/>
    </row>
    <row r="91" spans="1:35" ht="15.75" customHeight="1">
      <c r="B91" s="1553"/>
      <c r="C91" s="1553"/>
      <c r="D91" s="1553"/>
      <c r="V91" s="1300"/>
      <c r="X91" s="1287"/>
      <c r="AF91" s="1287"/>
    </row>
    <row r="92" spans="1:35" ht="15.75" customHeight="1">
      <c r="B92" s="1553"/>
      <c r="C92" s="1553"/>
      <c r="D92" s="1553"/>
      <c r="V92" s="1300"/>
      <c r="X92" s="1287"/>
      <c r="AF92" s="1287"/>
    </row>
    <row r="93" spans="1:35" ht="15.75" customHeight="1">
      <c r="B93" s="1553"/>
      <c r="C93" s="1553"/>
      <c r="D93" s="1553"/>
      <c r="V93" s="1300"/>
      <c r="X93" s="1287"/>
      <c r="AF93" s="1287"/>
    </row>
    <row r="94" spans="1:35" ht="15.75" customHeight="1">
      <c r="B94" s="1553"/>
      <c r="C94" s="1553"/>
      <c r="D94" s="1553"/>
      <c r="V94" s="1300"/>
      <c r="X94" s="1287"/>
      <c r="AF94" s="1287"/>
    </row>
    <row r="95" spans="1:35" ht="15.75" customHeight="1">
      <c r="B95" s="1553"/>
      <c r="C95" s="1553"/>
      <c r="D95" s="1553"/>
      <c r="V95" s="1300"/>
      <c r="X95" s="1287"/>
      <c r="AF95" s="1287"/>
    </row>
    <row r="96" spans="1:35" ht="15.75" customHeight="1">
      <c r="B96" s="1553"/>
      <c r="C96" s="1553"/>
      <c r="D96" s="1553"/>
      <c r="V96" s="1300"/>
      <c r="X96" s="1287"/>
      <c r="AF96" s="1287"/>
    </row>
    <row r="97" spans="1:35" ht="15.75" customHeight="1">
      <c r="B97" s="1553"/>
      <c r="C97" s="1553"/>
      <c r="D97" s="1553"/>
      <c r="V97" s="1300"/>
      <c r="X97" s="1287"/>
      <c r="AF97" s="1287"/>
    </row>
    <row r="98" spans="1:35" ht="13">
      <c r="B98" s="1553"/>
      <c r="C98" s="1553"/>
      <c r="D98" s="1553"/>
      <c r="E98" s="1047" t="s">
        <v>154</v>
      </c>
      <c r="V98" s="1300"/>
      <c r="X98" s="1287"/>
      <c r="AF98" s="1287"/>
    </row>
    <row r="99" spans="1:35">
      <c r="B99" s="1551" t="s">
        <v>982</v>
      </c>
      <c r="C99" s="1551"/>
      <c r="D99" s="1551"/>
      <c r="E99" s="1302"/>
      <c r="F99" s="1302"/>
      <c r="G99" s="1302"/>
      <c r="H99" s="1302"/>
      <c r="I99" s="1302"/>
      <c r="J99" s="1302"/>
      <c r="K99" s="1302"/>
      <c r="L99" s="1302"/>
      <c r="M99" s="1302"/>
      <c r="N99" s="1302"/>
      <c r="O99" s="1302"/>
      <c r="Z99" s="1045"/>
      <c r="AB99" s="1045"/>
      <c r="AI99" s="1045"/>
    </row>
    <row r="100" spans="1:35">
      <c r="B100" s="1551"/>
      <c r="C100" s="1551"/>
      <c r="D100" s="1551"/>
      <c r="E100" s="1302"/>
      <c r="F100" s="1302"/>
      <c r="G100" s="1302"/>
      <c r="H100" s="1302"/>
      <c r="I100" s="1302"/>
      <c r="J100" s="1302"/>
      <c r="K100" s="1302"/>
      <c r="L100" s="1302"/>
      <c r="M100" s="1302"/>
      <c r="N100" s="1302"/>
      <c r="O100" s="1302"/>
      <c r="Z100" s="1045"/>
      <c r="AB100" s="1045"/>
      <c r="AI100" s="1045"/>
    </row>
    <row r="101" spans="1:35">
      <c r="B101" s="1551"/>
      <c r="C101" s="1551"/>
      <c r="D101" s="1551"/>
      <c r="E101" s="1302"/>
      <c r="F101" s="1302"/>
      <c r="G101" s="1302"/>
      <c r="H101" s="1302"/>
      <c r="I101" s="1302"/>
      <c r="J101" s="1302"/>
      <c r="K101" s="1302"/>
      <c r="L101" s="1302"/>
      <c r="M101" s="1302"/>
      <c r="N101" s="1302"/>
      <c r="O101" s="1302"/>
      <c r="AH101" s="1046"/>
      <c r="AI101" s="1046"/>
    </row>
    <row r="102" spans="1:35">
      <c r="B102" s="1551"/>
      <c r="C102" s="1551"/>
      <c r="D102" s="1551"/>
      <c r="E102" s="1302"/>
      <c r="F102" s="1302"/>
      <c r="G102" s="1302"/>
      <c r="H102" s="1302"/>
      <c r="I102" s="1302"/>
      <c r="J102" s="1302"/>
      <c r="K102" s="1302"/>
      <c r="L102" s="1302"/>
      <c r="M102" s="1302"/>
      <c r="N102" s="1302"/>
      <c r="O102" s="1302"/>
      <c r="AH102" s="1046"/>
      <c r="AI102" s="1046"/>
    </row>
    <row r="103" spans="1:35">
      <c r="B103" s="1551" t="s">
        <v>952</v>
      </c>
      <c r="C103" s="1551"/>
      <c r="D103" s="1551"/>
      <c r="E103" s="1302"/>
      <c r="F103" s="1302"/>
      <c r="G103" s="1302"/>
      <c r="H103" s="1302"/>
      <c r="I103" s="1302"/>
      <c r="J103" s="1302"/>
      <c r="K103" s="1302"/>
      <c r="L103" s="1302"/>
      <c r="M103" s="1302"/>
      <c r="N103" s="1302"/>
      <c r="O103" s="1302"/>
      <c r="AH103" s="1046"/>
      <c r="AI103" s="1046"/>
    </row>
    <row r="104" spans="1:35">
      <c r="B104" s="1551"/>
      <c r="C104" s="1551"/>
      <c r="D104" s="1551"/>
      <c r="E104" s="1302"/>
      <c r="F104" s="1302"/>
      <c r="G104" s="1302"/>
      <c r="H104" s="1302"/>
      <c r="I104" s="1302"/>
      <c r="J104" s="1302"/>
      <c r="K104" s="1302"/>
      <c r="L104" s="1302"/>
      <c r="M104" s="1302"/>
      <c r="N104" s="1302"/>
      <c r="O104" s="1302"/>
      <c r="AH104" s="1046"/>
      <c r="AI104" s="1046"/>
    </row>
    <row r="105" spans="1:35">
      <c r="B105" s="1058"/>
      <c r="C105" s="1058"/>
      <c r="D105" s="1058"/>
      <c r="AH105" s="1046"/>
      <c r="AI105" s="1046"/>
    </row>
    <row r="106" spans="1:35" ht="15.75" customHeight="1">
      <c r="A106" s="1272"/>
      <c r="B106" s="1272" t="s">
        <v>839</v>
      </c>
      <c r="C106" s="1272"/>
      <c r="D106" s="1272"/>
      <c r="E106" s="1272"/>
      <c r="F106" s="1272"/>
      <c r="G106" s="1272"/>
      <c r="H106" s="1272"/>
      <c r="I106" s="1272"/>
      <c r="J106" s="1272"/>
      <c r="K106" s="1272"/>
      <c r="L106" s="1272"/>
      <c r="M106" s="1272"/>
      <c r="N106" s="1272"/>
      <c r="O106" s="1272"/>
      <c r="P106" s="1272"/>
      <c r="Q106" s="1272"/>
      <c r="R106" s="1272"/>
      <c r="S106" s="1272"/>
      <c r="T106" s="1272"/>
      <c r="U106" s="1272"/>
      <c r="V106" s="1272"/>
      <c r="W106" s="1272"/>
      <c r="X106" s="1272"/>
      <c r="Y106" s="1272"/>
      <c r="Z106" s="1272"/>
      <c r="AA106" s="1272"/>
      <c r="AB106" s="1272"/>
      <c r="AC106" s="1272"/>
      <c r="AD106" s="1272"/>
      <c r="AE106" s="1272"/>
      <c r="AF106" s="1272"/>
      <c r="AG106" s="1272"/>
      <c r="AH106" s="1272"/>
      <c r="AI106" s="1272"/>
    </row>
    <row r="107" spans="1:35">
      <c r="B107" s="1058"/>
      <c r="C107" s="1058"/>
      <c r="D107" s="1058"/>
      <c r="AH107" s="1046"/>
      <c r="AI107" s="1046"/>
    </row>
    <row r="108" spans="1:35" ht="15.75" customHeight="1">
      <c r="B108" s="1059" t="s">
        <v>156</v>
      </c>
      <c r="C108" s="1552" t="s">
        <v>895</v>
      </c>
      <c r="D108" s="1552"/>
      <c r="X108" s="1060"/>
      <c r="AH108" s="1046"/>
      <c r="AI108" s="1046"/>
    </row>
    <row r="109" spans="1:35" ht="15.75" customHeight="1">
      <c r="B109" s="1059"/>
      <c r="C109" s="1552"/>
      <c r="D109" s="1552"/>
      <c r="X109" s="1060"/>
      <c r="AH109" s="1046"/>
      <c r="AI109" s="1046"/>
    </row>
    <row r="110" spans="1:35" ht="15.75" customHeight="1">
      <c r="B110" s="1059"/>
      <c r="C110" s="1552"/>
      <c r="D110" s="1552"/>
      <c r="X110" s="1060"/>
      <c r="AH110" s="1046"/>
      <c r="AI110" s="1046"/>
    </row>
    <row r="111" spans="1:35">
      <c r="B111" s="1058"/>
      <c r="C111" s="1552"/>
      <c r="D111" s="1552"/>
      <c r="AH111" s="1046"/>
      <c r="AI111" s="1046"/>
    </row>
    <row r="112" spans="1:35" ht="15.75" customHeight="1">
      <c r="B112" s="1061" t="s">
        <v>293</v>
      </c>
      <c r="C112" s="1553" t="s">
        <v>896</v>
      </c>
      <c r="D112" s="1553"/>
      <c r="AH112" s="1046"/>
      <c r="AI112" s="1046"/>
    </row>
    <row r="113" spans="1:35">
      <c r="C113" s="1553"/>
      <c r="D113" s="1553"/>
      <c r="AH113" s="1046"/>
      <c r="AI113" s="1046"/>
    </row>
    <row r="114" spans="1:35" ht="15.75" customHeight="1">
      <c r="C114" s="1047" t="s">
        <v>154</v>
      </c>
      <c r="AH114" s="1046"/>
      <c r="AI114" s="1046"/>
    </row>
    <row r="115" spans="1:35">
      <c r="AH115" s="1046"/>
      <c r="AI115" s="1046"/>
    </row>
    <row r="116" spans="1:35" ht="15.75" customHeight="1">
      <c r="A116" s="1303" t="s">
        <v>840</v>
      </c>
      <c r="B116" s="1303"/>
      <c r="C116" s="1304"/>
      <c r="D116" s="1305"/>
      <c r="E116" s="1305"/>
      <c r="F116" s="1306"/>
      <c r="G116" s="1305"/>
      <c r="H116" s="1305"/>
      <c r="I116" s="1305"/>
      <c r="J116" s="1305"/>
      <c r="K116" s="1305"/>
      <c r="L116" s="1305"/>
      <c r="M116" s="1305"/>
      <c r="N116" s="1305"/>
      <c r="O116" s="1305"/>
      <c r="P116" s="1305"/>
      <c r="Q116" s="1305"/>
      <c r="R116" s="1305"/>
      <c r="S116" s="1305"/>
      <c r="T116" s="1305"/>
      <c r="U116" s="1305"/>
      <c r="V116" s="1305"/>
      <c r="W116" s="1305"/>
      <c r="X116" s="1305"/>
      <c r="Y116" s="1305"/>
      <c r="Z116" s="1305"/>
      <c r="AA116" s="1305"/>
      <c r="AB116" s="1305"/>
      <c r="AC116" s="1305"/>
      <c r="AD116" s="1305"/>
      <c r="AE116" s="1305"/>
      <c r="AF116" s="1305"/>
      <c r="AG116" s="1305"/>
      <c r="AH116" s="1305"/>
      <c r="AI116" s="1305"/>
    </row>
    <row r="117" spans="1:35" s="1190" customFormat="1" ht="14">
      <c r="V117" s="1258"/>
      <c r="X117" s="1289"/>
      <c r="AH117" s="1196"/>
    </row>
    <row r="119" spans="1:35" ht="15.75" customHeight="1">
      <c r="X119" s="1060"/>
    </row>
    <row r="121" spans="1:35" ht="15.75" customHeight="1">
      <c r="X121" s="1060"/>
    </row>
    <row r="123" spans="1:35" ht="15.75" customHeight="1"/>
    <row r="125" spans="1:35" ht="15.75" customHeight="1"/>
    <row r="127" spans="1:35" ht="15.75" customHeight="1"/>
    <row r="129" ht="15.75" customHeight="1"/>
    <row r="131" ht="15.75" customHeight="1"/>
    <row r="133" ht="15.75" customHeight="1"/>
    <row r="135" ht="15.75" customHeight="1"/>
    <row r="137" ht="15.75" customHeight="1"/>
    <row r="139" ht="15.75" customHeight="1"/>
    <row r="141" ht="15.75" customHeight="1"/>
    <row r="143" ht="15.75" customHeight="1"/>
    <row r="145" ht="15.75" customHeight="1"/>
    <row r="147" ht="15.75" customHeight="1"/>
    <row r="149" ht="15.75" customHeight="1"/>
    <row r="151" ht="15.75" customHeight="1"/>
    <row r="153" ht="15.75" customHeight="1"/>
    <row r="155" ht="15.75" customHeight="1"/>
    <row r="157" ht="15.75" customHeight="1"/>
    <row r="159" ht="15.75" customHeight="1"/>
    <row r="161" ht="15.75" customHeight="1"/>
    <row r="163" ht="15.75" customHeight="1"/>
    <row r="165" ht="15.75" customHeight="1"/>
    <row r="167" ht="15.75" customHeight="1"/>
    <row r="169" ht="15.75" customHeight="1"/>
    <row r="171" ht="15.75" customHeight="1"/>
    <row r="173" ht="15.75" customHeight="1"/>
    <row r="175" ht="15.75" customHeight="1"/>
    <row r="177" ht="15.75" customHeight="1"/>
    <row r="179" ht="15.75" customHeight="1"/>
    <row r="181" ht="15.75" customHeight="1"/>
    <row r="183" ht="15.75" customHeight="1"/>
    <row r="185" ht="15.75" customHeight="1"/>
    <row r="187" ht="15.75" customHeight="1"/>
    <row r="189" ht="15.75" customHeight="1"/>
    <row r="191" ht="15.75" customHeight="1"/>
    <row r="193" ht="15.75" customHeight="1"/>
    <row r="195" ht="15.75" customHeight="1"/>
    <row r="197" ht="15.75" customHeight="1"/>
    <row r="199" ht="15.75" customHeight="1"/>
    <row r="201" ht="15.75" customHeight="1"/>
    <row r="203" ht="15.75" customHeight="1"/>
    <row r="205" ht="15.75" customHeight="1"/>
    <row r="207" ht="15.75" customHeight="1"/>
    <row r="209" ht="15.75" customHeight="1"/>
    <row r="211" ht="15.75" customHeight="1"/>
    <row r="213" ht="15.75" customHeight="1"/>
    <row r="215" ht="15.75" customHeight="1"/>
    <row r="217" ht="15.75" customHeight="1"/>
    <row r="219" ht="15.75" customHeight="1"/>
    <row r="221" ht="15.75" customHeight="1"/>
    <row r="223" ht="15.75" customHeight="1"/>
    <row r="225" ht="15.75" customHeight="1"/>
    <row r="227" ht="15.75" customHeight="1"/>
    <row r="229" ht="15.75" customHeight="1"/>
    <row r="231" ht="15.75" customHeight="1"/>
    <row r="233" ht="15.75" customHeight="1"/>
    <row r="235" ht="15.75" customHeight="1"/>
    <row r="237" ht="15.75" customHeight="1"/>
    <row r="239" ht="15.75" customHeight="1"/>
    <row r="241" ht="15.75" customHeight="1"/>
    <row r="243" ht="15.75" customHeight="1"/>
    <row r="245" ht="15.75" customHeight="1"/>
    <row r="247" ht="15.75" customHeight="1"/>
    <row r="249" ht="15.75" customHeight="1"/>
    <row r="251" ht="15.75" customHeight="1"/>
    <row r="253" ht="15.75" customHeight="1"/>
    <row r="255" ht="15.75" customHeight="1"/>
    <row r="257" ht="15.75" customHeight="1"/>
    <row r="259" ht="15.75" customHeight="1"/>
    <row r="261" ht="15.75" customHeight="1"/>
    <row r="263" ht="15.75" customHeight="1"/>
    <row r="265" ht="15.75" customHeight="1"/>
    <row r="267" ht="15.75" customHeight="1"/>
    <row r="269" ht="15.75" customHeight="1"/>
    <row r="271" ht="15.75" customHeight="1"/>
    <row r="273" ht="15.75" customHeight="1"/>
    <row r="275" ht="15.75" customHeight="1"/>
    <row r="277" ht="15.75" customHeight="1"/>
    <row r="279" ht="15.75" customHeight="1"/>
    <row r="281" ht="15.75" customHeight="1"/>
    <row r="283" ht="15.75" customHeight="1"/>
    <row r="285" ht="15.75" customHeight="1"/>
    <row r="287" ht="15.75" customHeight="1"/>
    <row r="289" ht="15.75" customHeight="1"/>
    <row r="291" ht="15.75" customHeight="1"/>
    <row r="293" ht="15.75" customHeight="1"/>
    <row r="295" ht="15.75" customHeight="1"/>
    <row r="297" ht="15.75" customHeight="1"/>
    <row r="299" ht="15.75" customHeight="1"/>
    <row r="301" ht="15.75" customHeight="1"/>
    <row r="303" ht="15.75" customHeight="1"/>
    <row r="305" ht="15.75" customHeight="1"/>
    <row r="307" ht="15.75" customHeight="1"/>
    <row r="309" ht="15.75" customHeight="1"/>
    <row r="311" ht="15.75" customHeight="1"/>
    <row r="313" ht="15.75" customHeight="1"/>
    <row r="315" ht="15.75" customHeight="1"/>
    <row r="317" ht="15.75" customHeight="1"/>
    <row r="319" ht="15.75" customHeight="1"/>
    <row r="321" ht="15.75" customHeight="1"/>
    <row r="323" ht="15.75" customHeight="1"/>
    <row r="325" ht="15.75" customHeight="1"/>
  </sheetData>
  <mergeCells count="9">
    <mergeCell ref="B103:D104"/>
    <mergeCell ref="C108:D111"/>
    <mergeCell ref="C112:D113"/>
    <mergeCell ref="B5:AH5"/>
    <mergeCell ref="F7:J7"/>
    <mergeCell ref="L7:P7"/>
    <mergeCell ref="R7:AF7"/>
    <mergeCell ref="B87:D98"/>
    <mergeCell ref="B99:D102"/>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74"/>
  <sheetViews>
    <sheetView zoomScaleNormal="100" workbookViewId="0">
      <selection activeCell="K61" sqref="K61"/>
    </sheetView>
  </sheetViews>
  <sheetFormatPr defaultColWidth="9.1796875" defaultRowHeight="12.5"/>
  <cols>
    <col min="1" max="2" width="4.7265625" style="473" customWidth="1"/>
    <col min="3" max="3" width="46.81640625" style="473" bestFit="1" customWidth="1"/>
    <col min="4" max="4" width="10.1796875" style="473" bestFit="1" customWidth="1"/>
    <col min="5" max="5" width="15" style="685" bestFit="1" customWidth="1"/>
    <col min="6" max="6" width="15.26953125" style="473" customWidth="1"/>
    <col min="7" max="7" width="12" style="473" bestFit="1" customWidth="1"/>
    <col min="8" max="16384" width="9.1796875" style="473"/>
  </cols>
  <sheetData>
    <row r="1" spans="1:10" ht="18">
      <c r="A1" s="1560" t="str">
        <f>+'ATT H-2A'!A4</f>
        <v>Baltimore Gas and Electric Company</v>
      </c>
      <c r="B1" s="1560"/>
      <c r="C1" s="1560"/>
      <c r="D1" s="1560"/>
      <c r="E1" s="1560"/>
      <c r="F1" s="1560"/>
      <c r="G1" s="1560"/>
      <c r="H1" s="1561"/>
    </row>
    <row r="2" spans="1:10" ht="13">
      <c r="A2" s="101"/>
    </row>
    <row r="3" spans="1:10" ht="15.5">
      <c r="A3" s="1562" t="s">
        <v>46</v>
      </c>
      <c r="B3" s="1563"/>
      <c r="C3" s="1563"/>
      <c r="D3" s="1563"/>
      <c r="E3" s="1563"/>
      <c r="F3" s="1561"/>
      <c r="G3" s="1561"/>
      <c r="H3" s="1561"/>
    </row>
    <row r="5" spans="1:10" ht="13">
      <c r="D5" s="102"/>
    </row>
    <row r="7" spans="1:10" ht="13">
      <c r="D7" s="613"/>
      <c r="E7" s="686" t="s">
        <v>368</v>
      </c>
      <c r="F7" s="613"/>
      <c r="G7" s="613" t="s">
        <v>377</v>
      </c>
      <c r="H7" s="613"/>
    </row>
    <row r="8" spans="1:10" ht="13">
      <c r="A8" s="447" t="s">
        <v>171</v>
      </c>
      <c r="B8" s="447"/>
      <c r="D8" s="613"/>
      <c r="E8" s="686" t="s">
        <v>369</v>
      </c>
      <c r="F8" s="613" t="s">
        <v>312</v>
      </c>
      <c r="G8" s="613" t="s">
        <v>378</v>
      </c>
      <c r="H8" s="613"/>
    </row>
    <row r="9" spans="1:10" ht="13">
      <c r="A9" s="447"/>
      <c r="B9" s="447"/>
      <c r="D9" s="613"/>
      <c r="E9" s="687"/>
      <c r="F9" s="613"/>
      <c r="G9" s="613"/>
      <c r="H9" s="613"/>
    </row>
    <row r="10" spans="1:10" ht="13">
      <c r="A10" s="447"/>
      <c r="B10" s="447"/>
      <c r="D10" s="613"/>
      <c r="E10" s="687"/>
      <c r="F10" s="613"/>
      <c r="G10" s="613"/>
      <c r="H10" s="613"/>
    </row>
    <row r="11" spans="1:10" ht="13">
      <c r="D11" s="613"/>
      <c r="E11" s="687"/>
      <c r="G11" s="613"/>
      <c r="H11" s="616"/>
    </row>
    <row r="12" spans="1:10" ht="13">
      <c r="B12" s="447" t="s">
        <v>367</v>
      </c>
      <c r="D12" s="613"/>
      <c r="E12" s="688"/>
      <c r="F12" s="551" t="s">
        <v>135</v>
      </c>
      <c r="G12" s="613"/>
      <c r="H12" s="616"/>
    </row>
    <row r="13" spans="1:10" ht="13">
      <c r="D13" s="613"/>
      <c r="E13" s="688"/>
      <c r="F13" s="613"/>
      <c r="G13" s="613"/>
      <c r="H13" s="616"/>
    </row>
    <row r="14" spans="1:10" ht="12.75" customHeight="1">
      <c r="B14" s="473">
        <v>1</v>
      </c>
      <c r="C14" s="689" t="s">
        <v>425</v>
      </c>
      <c r="D14" s="690"/>
      <c r="E14" s="1155">
        <v>14081228</v>
      </c>
      <c r="F14" s="690"/>
      <c r="G14" s="690"/>
      <c r="I14" s="483"/>
      <c r="J14" s="483"/>
    </row>
    <row r="15" spans="1:10" ht="12.75" customHeight="1">
      <c r="B15" s="473">
        <f>+B14+1</f>
        <v>2</v>
      </c>
      <c r="C15" s="689" t="s">
        <v>1596</v>
      </c>
      <c r="D15" s="690"/>
      <c r="E15" s="1156">
        <v>120885752</v>
      </c>
      <c r="F15" s="690"/>
      <c r="G15" s="690"/>
      <c r="H15" s="690"/>
      <c r="I15" s="483"/>
      <c r="J15" s="483"/>
    </row>
    <row r="16" spans="1:10" ht="12.75" customHeight="1">
      <c r="B16" s="473">
        <f>+B15+1</f>
        <v>3</v>
      </c>
      <c r="C16" s="680" t="s">
        <v>354</v>
      </c>
      <c r="D16" s="690"/>
      <c r="E16" s="1156"/>
      <c r="F16" s="690"/>
      <c r="G16" s="690"/>
      <c r="H16" s="690"/>
      <c r="I16" s="483"/>
      <c r="J16" s="483"/>
    </row>
    <row r="17" spans="2:10" ht="12.75" customHeight="1">
      <c r="B17" s="473">
        <f>+B16+1</f>
        <v>4</v>
      </c>
      <c r="C17" s="680" t="s">
        <v>370</v>
      </c>
      <c r="D17" s="690"/>
      <c r="E17" s="691"/>
      <c r="F17" s="690"/>
      <c r="G17" s="690"/>
      <c r="H17" s="690"/>
      <c r="I17" s="483"/>
      <c r="J17" s="483"/>
    </row>
    <row r="18" spans="2:10" ht="12.75" customHeight="1">
      <c r="B18" s="473">
        <f>+B17+1</f>
        <v>5</v>
      </c>
      <c r="C18" s="680" t="s">
        <v>353</v>
      </c>
      <c r="D18" s="690"/>
      <c r="E18" s="691"/>
      <c r="F18" s="690"/>
      <c r="G18" s="690"/>
      <c r="H18" s="690"/>
      <c r="I18" s="483"/>
      <c r="J18" s="483"/>
    </row>
    <row r="19" spans="2:10" ht="12.75" customHeight="1">
      <c r="B19" s="473">
        <f>+B18+1</f>
        <v>6</v>
      </c>
      <c r="C19" s="680" t="s">
        <v>355</v>
      </c>
      <c r="D19" s="690"/>
      <c r="E19" s="691"/>
      <c r="F19" s="690"/>
      <c r="G19" s="690"/>
      <c r="H19" s="690"/>
      <c r="I19" s="483"/>
      <c r="J19" s="483"/>
    </row>
    <row r="20" spans="2:10" ht="12.75" customHeight="1">
      <c r="C20" s="680"/>
      <c r="D20" s="690"/>
      <c r="E20" s="691"/>
      <c r="F20" s="690"/>
      <c r="G20" s="690"/>
      <c r="H20" s="690"/>
      <c r="I20" s="483"/>
      <c r="J20" s="483"/>
    </row>
    <row r="21" spans="2:10" ht="12.75" customHeight="1">
      <c r="C21" s="680"/>
      <c r="D21" s="690"/>
      <c r="E21" s="691"/>
      <c r="F21" s="690"/>
      <c r="G21" s="690"/>
      <c r="H21" s="690"/>
      <c r="I21" s="483"/>
      <c r="J21" s="483"/>
    </row>
    <row r="22" spans="2:10" ht="12.75" customHeight="1">
      <c r="B22" s="447" t="s">
        <v>373</v>
      </c>
      <c r="D22" s="690"/>
      <c r="E22" s="692">
        <f>SUM(E14:E21)</f>
        <v>134966980</v>
      </c>
      <c r="F22" s="693">
        <f>+'ATT H-2A'!H36</f>
        <v>0.2381948594457306</v>
      </c>
      <c r="G22" s="694">
        <f>+F22*E22</f>
        <v>32148440.830914732</v>
      </c>
      <c r="H22" s="690"/>
      <c r="I22" s="483"/>
      <c r="J22" s="483"/>
    </row>
    <row r="23" spans="2:10" ht="12.75" customHeight="1">
      <c r="D23" s="690"/>
      <c r="E23" s="692"/>
      <c r="F23" s="690"/>
      <c r="G23" s="690"/>
      <c r="H23" s="690"/>
      <c r="I23" s="483"/>
      <c r="J23" s="483"/>
    </row>
    <row r="24" spans="2:10" ht="12.75" customHeight="1">
      <c r="D24" s="690"/>
      <c r="E24" s="692"/>
      <c r="F24" s="690"/>
      <c r="G24" s="690"/>
      <c r="H24" s="690"/>
      <c r="I24" s="483"/>
      <c r="J24" s="483"/>
    </row>
    <row r="25" spans="2:10" ht="12.75" customHeight="1">
      <c r="B25" s="447" t="s">
        <v>371</v>
      </c>
      <c r="D25" s="690"/>
      <c r="E25" s="692"/>
      <c r="F25" s="695" t="s">
        <v>266</v>
      </c>
      <c r="G25" s="690"/>
      <c r="H25" s="690"/>
      <c r="I25" s="483"/>
      <c r="J25" s="483"/>
    </row>
    <row r="26" spans="2:10" ht="12.75" customHeight="1">
      <c r="B26" s="447"/>
      <c r="D26" s="690"/>
      <c r="G26" s="690"/>
      <c r="H26" s="690"/>
      <c r="I26" s="483"/>
      <c r="J26" s="483"/>
    </row>
    <row r="27" spans="2:10" ht="12.75" customHeight="1">
      <c r="D27" s="690"/>
      <c r="E27" s="692"/>
      <c r="F27" s="690"/>
      <c r="G27" s="690"/>
      <c r="H27" s="690"/>
      <c r="I27" s="483"/>
      <c r="J27" s="483"/>
    </row>
    <row r="28" spans="2:10" ht="12.75" customHeight="1">
      <c r="B28" s="473">
        <f>+B19+1</f>
        <v>7</v>
      </c>
      <c r="C28" s="680" t="s">
        <v>1618</v>
      </c>
      <c r="D28" s="696"/>
      <c r="E28" s="905">
        <v>11002440</v>
      </c>
      <c r="F28" s="696"/>
      <c r="G28" s="696"/>
      <c r="H28" s="696"/>
      <c r="I28" s="483"/>
      <c r="J28" s="483"/>
    </row>
    <row r="29" spans="2:10">
      <c r="B29" s="473">
        <f>+B28+1</f>
        <v>8</v>
      </c>
      <c r="C29" s="680" t="s">
        <v>1617</v>
      </c>
      <c r="E29" s="905">
        <f>216473+50332</f>
        <v>266805</v>
      </c>
      <c r="I29" s="483"/>
      <c r="J29" s="483"/>
    </row>
    <row r="30" spans="2:10">
      <c r="C30" s="680"/>
      <c r="E30" s="905">
        <v>0</v>
      </c>
      <c r="I30" s="483"/>
      <c r="J30" s="483"/>
    </row>
    <row r="31" spans="2:10">
      <c r="C31" s="680"/>
      <c r="E31" s="683"/>
      <c r="I31" s="483"/>
      <c r="J31" s="483"/>
    </row>
    <row r="32" spans="2:10">
      <c r="C32" s="680"/>
      <c r="E32" s="683"/>
      <c r="I32" s="483"/>
      <c r="J32" s="483"/>
    </row>
    <row r="33" spans="2:10" ht="13">
      <c r="B33" s="447" t="s">
        <v>374</v>
      </c>
      <c r="E33" s="692">
        <f>SUM(E28:E32)</f>
        <v>11269245</v>
      </c>
      <c r="F33" s="693">
        <f>+'ATT H-2A'!H20</f>
        <v>0.13143233299925774</v>
      </c>
      <c r="G33" s="694">
        <f>+F33*E33</f>
        <v>1481143.1614902203</v>
      </c>
      <c r="I33" s="483"/>
      <c r="J33" s="483"/>
    </row>
    <row r="34" spans="2:10" ht="13">
      <c r="B34" s="447"/>
      <c r="C34" s="697"/>
      <c r="F34" s="483"/>
      <c r="I34" s="483"/>
      <c r="J34" s="483"/>
    </row>
    <row r="35" spans="2:10">
      <c r="I35" s="483"/>
      <c r="J35" s="483"/>
    </row>
    <row r="36" spans="2:10" ht="13">
      <c r="B36" s="447" t="s">
        <v>372</v>
      </c>
      <c r="F36" s="551" t="s">
        <v>135</v>
      </c>
      <c r="I36" s="483"/>
      <c r="J36" s="483"/>
    </row>
    <row r="37" spans="2:10">
      <c r="I37" s="483"/>
      <c r="J37" s="483"/>
    </row>
    <row r="38" spans="2:10">
      <c r="B38" s="473">
        <f>+B29+1</f>
        <v>9</v>
      </c>
      <c r="C38" s="698" t="s">
        <v>1615</v>
      </c>
      <c r="E38" s="1157">
        <v>304771</v>
      </c>
      <c r="I38" s="483"/>
      <c r="J38" s="483"/>
    </row>
    <row r="39" spans="2:10">
      <c r="B39" s="473">
        <f>+B38+1</f>
        <v>10</v>
      </c>
      <c r="C39" s="680" t="s">
        <v>1616</v>
      </c>
      <c r="E39" s="1157">
        <v>37095</v>
      </c>
      <c r="I39" s="483"/>
      <c r="J39" s="483"/>
    </row>
    <row r="40" spans="2:10">
      <c r="C40" s="680"/>
      <c r="E40" s="683"/>
      <c r="I40" s="483"/>
      <c r="J40" s="483"/>
    </row>
    <row r="41" spans="2:10">
      <c r="C41" s="680"/>
      <c r="E41" s="683"/>
      <c r="I41" s="483"/>
      <c r="J41" s="483"/>
    </row>
    <row r="42" spans="2:10" ht="13">
      <c r="B42" s="447" t="s">
        <v>375</v>
      </c>
      <c r="E42" s="692">
        <f>SUM(E38:E41)</f>
        <v>341866</v>
      </c>
      <c r="F42" s="693">
        <f>+'ATT H-2A'!H36</f>
        <v>0.2381948594457306</v>
      </c>
      <c r="G42" s="694">
        <f>+F42*E42</f>
        <v>81430.723819274135</v>
      </c>
      <c r="I42" s="483"/>
      <c r="J42" s="483"/>
    </row>
    <row r="43" spans="2:10">
      <c r="I43" s="483"/>
      <c r="J43" s="483"/>
    </row>
    <row r="44" spans="2:10" ht="13">
      <c r="B44" s="447" t="s">
        <v>379</v>
      </c>
      <c r="G44" s="694">
        <f>+G42+G33+G22</f>
        <v>33711014.716224223</v>
      </c>
      <c r="I44" s="483"/>
      <c r="J44" s="483"/>
    </row>
    <row r="45" spans="2:10">
      <c r="C45" s="699"/>
      <c r="I45" s="483"/>
      <c r="J45" s="483"/>
    </row>
    <row r="46" spans="2:10">
      <c r="C46" s="699"/>
      <c r="I46" s="483"/>
      <c r="J46" s="483"/>
    </row>
    <row r="47" spans="2:10">
      <c r="C47" s="699"/>
      <c r="I47" s="483"/>
      <c r="J47" s="483"/>
    </row>
    <row r="48" spans="2:10" ht="13">
      <c r="C48" s="447" t="s">
        <v>376</v>
      </c>
      <c r="I48" s="483"/>
      <c r="J48" s="483"/>
    </row>
    <row r="49" spans="2:19">
      <c r="I49" s="483"/>
      <c r="J49" s="483"/>
    </row>
    <row r="50" spans="2:19">
      <c r="B50" s="473">
        <f>+B39+1</f>
        <v>11</v>
      </c>
      <c r="C50" s="483" t="s">
        <v>3</v>
      </c>
      <c r="D50" s="483"/>
      <c r="E50" s="1157">
        <v>47050088</v>
      </c>
      <c r="F50" s="394"/>
      <c r="G50" s="394"/>
      <c r="H50" s="394"/>
      <c r="I50" s="394"/>
      <c r="J50" s="394"/>
      <c r="K50" s="483"/>
      <c r="L50" s="483"/>
      <c r="M50" s="483"/>
      <c r="N50" s="483"/>
      <c r="O50" s="483"/>
      <c r="P50" s="483"/>
      <c r="Q50" s="483"/>
      <c r="R50" s="483"/>
      <c r="S50" s="483"/>
    </row>
    <row r="51" spans="2:19">
      <c r="B51" s="473">
        <f>+B50+1</f>
        <v>12</v>
      </c>
      <c r="C51" s="483" t="s">
        <v>4</v>
      </c>
      <c r="D51" s="483"/>
      <c r="E51" s="1157">
        <v>0</v>
      </c>
      <c r="F51" s="394"/>
      <c r="G51" s="394"/>
      <c r="H51" s="394"/>
      <c r="I51" s="394"/>
      <c r="J51" s="394"/>
      <c r="K51" s="483"/>
      <c r="L51" s="483"/>
      <c r="M51" s="483"/>
      <c r="N51" s="483"/>
      <c r="O51" s="483"/>
      <c r="P51" s="483"/>
      <c r="Q51" s="483"/>
      <c r="R51" s="483"/>
      <c r="S51" s="483"/>
    </row>
    <row r="52" spans="2:19">
      <c r="B52" s="473">
        <f t="shared" ref="B52:B59" si="0">+B51+1</f>
        <v>13</v>
      </c>
      <c r="C52" s="483" t="s">
        <v>5</v>
      </c>
      <c r="D52" s="483"/>
      <c r="E52" s="691">
        <v>0</v>
      </c>
      <c r="F52" s="394"/>
      <c r="G52" s="394"/>
      <c r="H52" s="394"/>
      <c r="I52" s="394"/>
      <c r="J52" s="394"/>
      <c r="K52" s="483"/>
      <c r="L52" s="483"/>
      <c r="M52" s="483"/>
      <c r="N52" s="483"/>
      <c r="O52" s="483"/>
      <c r="P52" s="483"/>
      <c r="Q52" s="483"/>
      <c r="R52" s="483"/>
      <c r="S52" s="483"/>
    </row>
    <row r="53" spans="2:19">
      <c r="B53" s="473">
        <f t="shared" si="0"/>
        <v>14</v>
      </c>
      <c r="C53" s="483" t="s">
        <v>352</v>
      </c>
      <c r="D53" s="483"/>
      <c r="E53" s="906">
        <v>46511434</v>
      </c>
      <c r="F53" s="394"/>
      <c r="G53" s="394"/>
      <c r="H53" s="394"/>
      <c r="I53" s="394"/>
      <c r="J53" s="394"/>
      <c r="K53" s="483"/>
      <c r="L53" s="483"/>
      <c r="M53" s="483"/>
      <c r="N53" s="483"/>
      <c r="O53" s="483"/>
      <c r="P53" s="483"/>
      <c r="Q53" s="483"/>
      <c r="R53" s="483"/>
      <c r="S53" s="483"/>
    </row>
    <row r="54" spans="2:19">
      <c r="B54" s="473">
        <f t="shared" si="0"/>
        <v>15</v>
      </c>
      <c r="C54" s="483" t="s">
        <v>6</v>
      </c>
      <c r="D54" s="483"/>
      <c r="E54" s="1158">
        <v>5307855</v>
      </c>
      <c r="F54" s="394"/>
      <c r="G54" s="394"/>
      <c r="H54" s="394"/>
      <c r="I54" s="394"/>
      <c r="J54" s="394"/>
      <c r="K54" s="483"/>
      <c r="L54" s="483"/>
      <c r="M54" s="483"/>
      <c r="N54" s="483"/>
      <c r="O54" s="483"/>
      <c r="P54" s="483"/>
      <c r="Q54" s="483"/>
      <c r="R54" s="483"/>
      <c r="S54" s="483"/>
    </row>
    <row r="55" spans="2:19">
      <c r="B55" s="473">
        <f t="shared" si="0"/>
        <v>16</v>
      </c>
      <c r="C55" s="690" t="s">
        <v>11</v>
      </c>
      <c r="D55" s="483"/>
      <c r="E55" s="1158">
        <v>4108717</v>
      </c>
      <c r="F55" s="394"/>
      <c r="G55" s="394"/>
      <c r="H55" s="394"/>
      <c r="I55" s="394"/>
      <c r="J55" s="483"/>
      <c r="K55" s="483"/>
      <c r="L55" s="483"/>
      <c r="M55" s="483"/>
      <c r="N55" s="483"/>
      <c r="O55" s="483"/>
      <c r="P55" s="483"/>
      <c r="Q55" s="483"/>
      <c r="R55" s="483"/>
      <c r="S55" s="483"/>
    </row>
    <row r="56" spans="2:19">
      <c r="B56" s="473">
        <f t="shared" si="0"/>
        <v>17</v>
      </c>
      <c r="C56" s="690" t="s">
        <v>12</v>
      </c>
      <c r="D56" s="483"/>
      <c r="E56" s="1158">
        <v>541296</v>
      </c>
      <c r="F56" s="394"/>
      <c r="G56" s="394"/>
      <c r="H56" s="394"/>
      <c r="I56" s="394"/>
      <c r="J56" s="483"/>
    </row>
    <row r="57" spans="2:19">
      <c r="B57" s="473">
        <f t="shared" si="0"/>
        <v>18</v>
      </c>
      <c r="C57" s="690" t="s">
        <v>66</v>
      </c>
      <c r="D57" s="483"/>
      <c r="E57" s="1158">
        <v>60749</v>
      </c>
      <c r="F57" s="394"/>
      <c r="G57" s="394"/>
      <c r="H57" s="394"/>
      <c r="I57" s="394"/>
      <c r="J57" s="483"/>
    </row>
    <row r="58" spans="2:19">
      <c r="B58" s="473">
        <f t="shared" si="0"/>
        <v>19</v>
      </c>
      <c r="C58" s="483" t="s">
        <v>13</v>
      </c>
      <c r="D58" s="483"/>
      <c r="E58" s="1158">
        <v>2930207</v>
      </c>
      <c r="F58" s="394"/>
      <c r="G58" s="394"/>
      <c r="H58" s="394"/>
      <c r="I58" s="394"/>
      <c r="J58" s="483"/>
    </row>
    <row r="59" spans="2:19">
      <c r="B59" s="473">
        <f t="shared" si="0"/>
        <v>20</v>
      </c>
      <c r="C59" s="483" t="s">
        <v>14</v>
      </c>
      <c r="D59" s="483"/>
      <c r="E59" s="1158">
        <v>16919201</v>
      </c>
      <c r="F59" s="394"/>
      <c r="G59" s="394"/>
      <c r="H59" s="394"/>
      <c r="I59" s="394"/>
      <c r="J59" s="483"/>
    </row>
    <row r="60" spans="2:19">
      <c r="C60" s="483"/>
      <c r="D60" s="483"/>
      <c r="G60" s="394"/>
      <c r="H60" s="394"/>
      <c r="I60" s="394"/>
      <c r="J60" s="483"/>
    </row>
    <row r="61" spans="2:19" ht="13" thickBot="1">
      <c r="B61" s="473">
        <f>+B59+1</f>
        <v>21</v>
      </c>
      <c r="C61" s="483" t="s">
        <v>15</v>
      </c>
      <c r="D61" s="483"/>
      <c r="E61" s="700">
        <f>E22+E33+E42+SUM(E50:E59)</f>
        <v>270007638</v>
      </c>
      <c r="G61" s="394"/>
      <c r="H61" s="394"/>
      <c r="I61" s="394"/>
      <c r="J61" s="483"/>
    </row>
    <row r="62" spans="2:19" ht="13" thickTop="1">
      <c r="C62" s="483"/>
      <c r="F62" s="580"/>
      <c r="I62" s="483"/>
      <c r="J62" s="483"/>
    </row>
    <row r="63" spans="2:19">
      <c r="B63" s="483"/>
      <c r="C63" s="681" t="s">
        <v>84</v>
      </c>
      <c r="D63" s="681"/>
      <c r="E63" s="907">
        <f>+E61-270007638</f>
        <v>0</v>
      </c>
      <c r="F63" s="701"/>
      <c r="G63" s="701"/>
      <c r="H63" s="430"/>
      <c r="I63" s="483"/>
      <c r="J63" s="483"/>
    </row>
    <row r="64" spans="2:19">
      <c r="B64" s="483" t="s">
        <v>556</v>
      </c>
      <c r="C64" s="483"/>
      <c r="D64" s="483"/>
      <c r="E64" s="702"/>
      <c r="F64" s="394"/>
      <c r="G64" s="394"/>
      <c r="H64" s="394"/>
      <c r="I64" s="483"/>
      <c r="J64" s="483"/>
    </row>
    <row r="65" spans="2:10">
      <c r="B65" s="483" t="s">
        <v>156</v>
      </c>
      <c r="C65" s="483" t="s">
        <v>85</v>
      </c>
      <c r="D65" s="483"/>
      <c r="E65" s="702"/>
      <c r="F65" s="394"/>
      <c r="G65" s="394"/>
      <c r="H65" s="394"/>
      <c r="I65" s="483"/>
      <c r="J65" s="483"/>
    </row>
    <row r="66" spans="2:10">
      <c r="B66" s="483"/>
      <c r="C66" s="679" t="s">
        <v>86</v>
      </c>
      <c r="D66" s="483"/>
      <c r="E66" s="702"/>
      <c r="F66" s="483"/>
      <c r="G66" s="394"/>
      <c r="H66" s="394"/>
      <c r="I66" s="483"/>
      <c r="J66" s="483"/>
    </row>
    <row r="67" spans="2:10">
      <c r="B67" s="483" t="s">
        <v>293</v>
      </c>
      <c r="C67" s="483" t="s">
        <v>87</v>
      </c>
      <c r="D67" s="483"/>
      <c r="E67" s="702"/>
      <c r="F67" s="483"/>
      <c r="G67" s="394"/>
      <c r="H67" s="394"/>
      <c r="I67" s="483"/>
      <c r="J67" s="483"/>
    </row>
    <row r="68" spans="2:10">
      <c r="B68" s="483"/>
      <c r="C68" s="679" t="s">
        <v>86</v>
      </c>
      <c r="D68" s="483"/>
      <c r="E68" s="702"/>
      <c r="F68" s="483"/>
      <c r="G68" s="394"/>
      <c r="H68" s="394"/>
      <c r="I68" s="483"/>
      <c r="J68" s="483"/>
    </row>
    <row r="69" spans="2:10">
      <c r="B69" s="483" t="s">
        <v>133</v>
      </c>
      <c r="C69" s="483" t="s">
        <v>88</v>
      </c>
      <c r="D69" s="483"/>
      <c r="E69" s="702"/>
      <c r="F69" s="483"/>
      <c r="G69" s="394"/>
      <c r="H69" s="394"/>
      <c r="I69" s="483"/>
      <c r="J69" s="483"/>
    </row>
    <row r="70" spans="2:10">
      <c r="B70" s="483" t="s">
        <v>157</v>
      </c>
      <c r="C70" s="679" t="s">
        <v>402</v>
      </c>
      <c r="D70" s="483"/>
      <c r="E70" s="702"/>
      <c r="F70" s="483"/>
      <c r="G70" s="394"/>
      <c r="H70" s="394"/>
      <c r="I70" s="483"/>
      <c r="J70" s="483"/>
    </row>
    <row r="71" spans="2:10">
      <c r="B71" s="483"/>
      <c r="C71" s="483" t="s">
        <v>403</v>
      </c>
      <c r="D71" s="483"/>
      <c r="E71" s="702"/>
      <c r="F71" s="483"/>
      <c r="G71" s="483"/>
      <c r="H71" s="483"/>
      <c r="I71" s="483"/>
      <c r="J71" s="483"/>
    </row>
    <row r="72" spans="2:10">
      <c r="B72" s="483"/>
      <c r="C72" s="483" t="s">
        <v>404</v>
      </c>
      <c r="D72" s="483"/>
      <c r="E72" s="702"/>
      <c r="F72" s="483"/>
      <c r="G72" s="483"/>
      <c r="H72" s="483"/>
      <c r="I72" s="483"/>
      <c r="J72" s="483"/>
    </row>
    <row r="73" spans="2:10">
      <c r="B73" s="483" t="s">
        <v>155</v>
      </c>
      <c r="C73" s="483" t="s">
        <v>401</v>
      </c>
      <c r="D73" s="483"/>
      <c r="E73" s="682"/>
      <c r="F73" s="483"/>
      <c r="G73" s="483"/>
      <c r="H73" s="483"/>
      <c r="I73" s="483"/>
      <c r="J73" s="483"/>
    </row>
    <row r="74" spans="2:10">
      <c r="I74" s="483"/>
      <c r="J74" s="483"/>
    </row>
  </sheetData>
  <mergeCells count="2">
    <mergeCell ref="A1:H1"/>
    <mergeCell ref="A3:H3"/>
  </mergeCells>
  <phoneticPr fontId="0" type="noConversion"/>
  <pageMargins left="1" right="0.75" top="1.5" bottom="1" header="0.5" footer="0.5"/>
  <pageSetup scale="66" orientation="portrait" r:id="rId1"/>
  <headerFooter alignWithMargins="0">
    <oddHeader>&amp;L&amp;"Arial,Bold"&amp;12
&amp;R&amp;"Times New Roman,Bold"&amp;12Appendix A
Page &amp;P of &amp;N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83"/>
  <sheetViews>
    <sheetView zoomScaleNormal="100" workbookViewId="0">
      <selection activeCell="F18" sqref="F18"/>
    </sheetView>
  </sheetViews>
  <sheetFormatPr defaultColWidth="9.1796875" defaultRowHeight="12.5"/>
  <cols>
    <col min="1" max="1" width="4.1796875" style="473" customWidth="1"/>
    <col min="2" max="2" width="74.26953125" style="473" customWidth="1"/>
    <col min="3" max="3" width="18.81640625" style="473" bestFit="1" customWidth="1"/>
    <col min="4" max="4" width="14" style="703" bestFit="1" customWidth="1"/>
    <col min="5" max="5" width="9.1796875" style="473"/>
    <col min="6" max="6" width="17.26953125" style="473" bestFit="1" customWidth="1"/>
    <col min="7" max="8" width="13.1796875" style="473" bestFit="1" customWidth="1"/>
    <col min="9" max="16384" width="9.1796875" style="473"/>
  </cols>
  <sheetData>
    <row r="1" spans="1:7" ht="18">
      <c r="A1" s="1560" t="str">
        <f>+'ATT H-2A'!A4</f>
        <v>Baltimore Gas and Electric Company</v>
      </c>
      <c r="B1" s="1560"/>
      <c r="C1" s="1560"/>
      <c r="D1" s="1560"/>
    </row>
    <row r="2" spans="1:7" ht="13">
      <c r="A2" s="101"/>
    </row>
    <row r="3" spans="1:7" ht="15.5">
      <c r="A3" s="1562" t="s">
        <v>47</v>
      </c>
      <c r="B3" s="1563"/>
      <c r="C3" s="1563"/>
      <c r="D3" s="1563"/>
    </row>
    <row r="4" spans="1:7">
      <c r="B4" s="61"/>
      <c r="C4" s="704"/>
    </row>
    <row r="5" spans="1:7" ht="13">
      <c r="B5" s="395"/>
      <c r="C5" s="704"/>
    </row>
    <row r="6" spans="1:7" ht="13">
      <c r="B6" s="396" t="s">
        <v>16</v>
      </c>
    </row>
    <row r="7" spans="1:7">
      <c r="A7" s="473">
        <v>1</v>
      </c>
      <c r="B7" s="677" t="s">
        <v>223</v>
      </c>
      <c r="C7" s="705"/>
      <c r="D7" s="908">
        <f>442158+11758345</f>
        <v>12200503</v>
      </c>
      <c r="F7" s="676"/>
    </row>
    <row r="8" spans="1:7" s="61" customFormat="1">
      <c r="A8" s="473">
        <v>2</v>
      </c>
      <c r="B8" s="706" t="s">
        <v>17</v>
      </c>
      <c r="C8" s="473" t="s">
        <v>59</v>
      </c>
      <c r="D8" s="707">
        <f>SUM(D7:D7)</f>
        <v>12200503</v>
      </c>
      <c r="F8" s="772"/>
    </row>
    <row r="9" spans="1:7">
      <c r="B9" s="706"/>
      <c r="C9" s="706"/>
      <c r="D9" s="708"/>
      <c r="F9" s="676"/>
    </row>
    <row r="10" spans="1:7" ht="13">
      <c r="B10" s="396" t="s">
        <v>217</v>
      </c>
      <c r="C10" s="706"/>
      <c r="F10" s="676"/>
    </row>
    <row r="11" spans="1:7">
      <c r="B11" s="709"/>
      <c r="C11" s="696"/>
      <c r="D11" s="710"/>
      <c r="F11" s="676"/>
    </row>
    <row r="12" spans="1:7">
      <c r="A12" s="473">
        <f>+A8+1</f>
        <v>3</v>
      </c>
      <c r="B12" s="677" t="s">
        <v>170</v>
      </c>
      <c r="C12" s="690"/>
      <c r="D12" s="1159">
        <v>1414773</v>
      </c>
      <c r="F12" s="676"/>
    </row>
    <row r="13" spans="1:7" ht="37.5">
      <c r="A13" s="711">
        <f t="shared" ref="A13:A19" si="0">+A12+1</f>
        <v>4</v>
      </c>
      <c r="B13" s="690" t="s">
        <v>109</v>
      </c>
      <c r="C13" s="690"/>
      <c r="D13" s="1159">
        <v>0</v>
      </c>
      <c r="F13" s="676"/>
    </row>
    <row r="14" spans="1:7" ht="25">
      <c r="A14" s="473">
        <f t="shared" si="0"/>
        <v>5</v>
      </c>
      <c r="B14" s="712" t="s">
        <v>108</v>
      </c>
      <c r="C14" s="690"/>
      <c r="D14" s="1159">
        <v>4099198</v>
      </c>
      <c r="F14" s="676"/>
    </row>
    <row r="15" spans="1:7">
      <c r="A15" s="473">
        <f t="shared" si="0"/>
        <v>6</v>
      </c>
      <c r="B15" s="706" t="s">
        <v>224</v>
      </c>
      <c r="C15" s="696"/>
      <c r="D15" s="1160">
        <v>0</v>
      </c>
      <c r="F15" s="676"/>
    </row>
    <row r="16" spans="1:7">
      <c r="A16" s="473">
        <f t="shared" si="0"/>
        <v>7</v>
      </c>
      <c r="B16" s="706" t="s">
        <v>225</v>
      </c>
      <c r="C16" s="690"/>
      <c r="D16" s="1160">
        <v>0</v>
      </c>
      <c r="F16" s="491"/>
      <c r="G16" s="483"/>
    </row>
    <row r="17" spans="1:8">
      <c r="A17" s="473">
        <f t="shared" si="0"/>
        <v>8</v>
      </c>
      <c r="B17" s="706" t="s">
        <v>226</v>
      </c>
      <c r="C17" s="705"/>
      <c r="D17" s="713">
        <f>941057+181356</f>
        <v>1122413</v>
      </c>
      <c r="E17" s="483"/>
      <c r="F17" s="491"/>
      <c r="G17" s="491"/>
      <c r="H17" s="676"/>
    </row>
    <row r="18" spans="1:8" ht="14">
      <c r="A18" s="473">
        <f t="shared" si="0"/>
        <v>9</v>
      </c>
      <c r="B18" s="706" t="s">
        <v>227</v>
      </c>
      <c r="C18" s="483"/>
      <c r="D18" s="713">
        <v>36004562.709999986</v>
      </c>
      <c r="E18" s="483"/>
      <c r="F18" s="812"/>
      <c r="G18" s="483"/>
    </row>
    <row r="19" spans="1:8">
      <c r="A19" s="473">
        <f t="shared" si="0"/>
        <v>10</v>
      </c>
      <c r="B19" s="706" t="s">
        <v>228</v>
      </c>
      <c r="C19" s="483"/>
      <c r="D19" s="713">
        <v>0</v>
      </c>
      <c r="F19" s="715"/>
      <c r="G19" s="483"/>
    </row>
    <row r="20" spans="1:8">
      <c r="B20" s="706"/>
      <c r="D20" s="714"/>
      <c r="F20" s="491"/>
      <c r="G20" s="483"/>
    </row>
    <row r="21" spans="1:8">
      <c r="A21" s="473">
        <f>+A19+1</f>
        <v>11</v>
      </c>
      <c r="B21" s="706" t="s">
        <v>89</v>
      </c>
      <c r="C21" s="473" t="s">
        <v>62</v>
      </c>
      <c r="D21" s="713">
        <f>SUM(D12:D20)+D8</f>
        <v>54841449.709999986</v>
      </c>
      <c r="F21" s="491"/>
      <c r="G21" s="483"/>
    </row>
    <row r="22" spans="1:8">
      <c r="A22" s="483">
        <v>12</v>
      </c>
      <c r="B22" s="705" t="s">
        <v>9</v>
      </c>
      <c r="C22" s="483"/>
      <c r="D22" s="715">
        <f>+D39</f>
        <v>-7967419.6399999997</v>
      </c>
      <c r="F22" s="491"/>
      <c r="G22" s="483"/>
    </row>
    <row r="23" spans="1:8">
      <c r="A23" s="483">
        <v>13</v>
      </c>
      <c r="B23" s="705" t="s">
        <v>90</v>
      </c>
      <c r="C23" s="483"/>
      <c r="D23" s="715">
        <f>+D21+D22</f>
        <v>46874030.069999985</v>
      </c>
      <c r="F23" s="676"/>
    </row>
    <row r="24" spans="1:8">
      <c r="A24" s="483"/>
      <c r="C24" s="483"/>
      <c r="D24" s="715"/>
    </row>
    <row r="25" spans="1:8">
      <c r="B25" s="706"/>
      <c r="D25" s="715"/>
    </row>
    <row r="26" spans="1:8" ht="54" customHeight="1">
      <c r="B26" s="706"/>
      <c r="D26" s="715"/>
    </row>
    <row r="27" spans="1:8" ht="13">
      <c r="B27" s="397" t="s">
        <v>18</v>
      </c>
      <c r="D27" s="716"/>
    </row>
    <row r="28" spans="1:8" ht="54.75" customHeight="1">
      <c r="A28" s="717">
        <v>14</v>
      </c>
      <c r="B28" s="484" t="s">
        <v>641</v>
      </c>
      <c r="D28" s="715"/>
    </row>
    <row r="29" spans="1:8">
      <c r="A29" s="711"/>
      <c r="B29" s="706"/>
    </row>
    <row r="30" spans="1:8" ht="50">
      <c r="A30" s="711">
        <v>15</v>
      </c>
      <c r="B30" s="712" t="s">
        <v>221</v>
      </c>
    </row>
    <row r="31" spans="1:8">
      <c r="A31" s="711"/>
      <c r="B31" s="706"/>
    </row>
    <row r="32" spans="1:8" ht="156.75" customHeight="1">
      <c r="A32" s="711">
        <v>16</v>
      </c>
      <c r="B32" s="718" t="s">
        <v>232</v>
      </c>
      <c r="C32" s="132"/>
      <c r="D32" s="715"/>
    </row>
    <row r="33" spans="1:6" s="483" customFormat="1" ht="15.5">
      <c r="A33" s="717" t="s">
        <v>91</v>
      </c>
      <c r="B33" s="719" t="s">
        <v>565</v>
      </c>
      <c r="C33" s="463"/>
      <c r="D33" s="715">
        <f>+D7</f>
        <v>12200503</v>
      </c>
    </row>
    <row r="34" spans="1:6" s="483" customFormat="1" ht="15.5">
      <c r="A34" s="717" t="s">
        <v>92</v>
      </c>
      <c r="B34" s="719" t="s">
        <v>93</v>
      </c>
      <c r="C34" s="463"/>
      <c r="D34" s="713">
        <v>3955395</v>
      </c>
    </row>
    <row r="35" spans="1:6" s="483" customFormat="1" ht="15.5">
      <c r="A35" s="717" t="s">
        <v>94</v>
      </c>
      <c r="B35" s="719" t="s">
        <v>218</v>
      </c>
      <c r="C35" s="463"/>
      <c r="D35" s="715">
        <f>+D33-D34</f>
        <v>8245108</v>
      </c>
    </row>
    <row r="36" spans="1:6" s="394" customFormat="1" ht="15.5">
      <c r="A36" s="717" t="s">
        <v>95</v>
      </c>
      <c r="B36" s="719" t="s">
        <v>219</v>
      </c>
      <c r="C36" s="463"/>
      <c r="D36" s="715">
        <f>+D35/2</f>
        <v>4122554</v>
      </c>
    </row>
    <row r="37" spans="1:6" s="483" customFormat="1" ht="37.5">
      <c r="A37" s="717" t="s">
        <v>96</v>
      </c>
      <c r="B37" s="719" t="s">
        <v>75</v>
      </c>
      <c r="C37" s="463"/>
      <c r="D37" s="713">
        <v>110529.36</v>
      </c>
    </row>
    <row r="38" spans="1:6" s="394" customFormat="1">
      <c r="A38" s="717" t="s">
        <v>112</v>
      </c>
      <c r="B38" s="705" t="s">
        <v>220</v>
      </c>
      <c r="C38" s="483"/>
      <c r="D38" s="715">
        <f>+D36+D37</f>
        <v>4233083.3600000003</v>
      </c>
    </row>
    <row r="39" spans="1:6" s="483" customFormat="1">
      <c r="A39" s="717" t="s">
        <v>97</v>
      </c>
      <c r="B39" s="705" t="s">
        <v>113</v>
      </c>
      <c r="D39" s="715">
        <f>+D38-D33</f>
        <v>-7967419.6399999997</v>
      </c>
    </row>
    <row r="40" spans="1:6" ht="62.5">
      <c r="A40" s="717">
        <v>18</v>
      </c>
      <c r="B40" s="484" t="s">
        <v>566</v>
      </c>
      <c r="D40" s="909">
        <f>3411444+1347642+19674991+2881792+6243664+7042396</f>
        <v>40601929</v>
      </c>
    </row>
    <row r="42" spans="1:6">
      <c r="A42" s="473">
        <v>19</v>
      </c>
      <c r="B42" s="473" t="s">
        <v>125</v>
      </c>
      <c r="D42" s="1159">
        <v>299868778</v>
      </c>
    </row>
    <row r="43" spans="1:6">
      <c r="D43" s="720"/>
    </row>
    <row r="44" spans="1:6">
      <c r="A44" s="473">
        <v>20</v>
      </c>
      <c r="B44" s="473" t="s">
        <v>124</v>
      </c>
      <c r="C44" s="483"/>
      <c r="D44" s="580">
        <f>+D21+D28+D40+D42-D18-D17</f>
        <v>358185181</v>
      </c>
    </row>
    <row r="46" spans="1:6">
      <c r="C46" s="473" t="s">
        <v>557</v>
      </c>
      <c r="D46" s="703">
        <f>16959589+35842843+305382749</f>
        <v>358185181</v>
      </c>
    </row>
    <row r="48" spans="1:6">
      <c r="C48" s="473" t="s">
        <v>84</v>
      </c>
      <c r="D48" s="703">
        <f>+D46-D44</f>
        <v>0</v>
      </c>
      <c r="F48" s="580"/>
    </row>
    <row r="83" spans="8:8">
      <c r="H83" s="473">
        <f>+J83</f>
        <v>0</v>
      </c>
    </row>
  </sheetData>
  <mergeCells count="2">
    <mergeCell ref="A3:D3"/>
    <mergeCell ref="A1:D1"/>
  </mergeCells>
  <phoneticPr fontId="0" type="noConversion"/>
  <pageMargins left="1" right="0.5" top="1.5" bottom="1" header="0.5" footer="0.5"/>
  <pageSetup scale="42" orientation="portrait" r:id="rId1"/>
  <headerFooter alignWithMargins="0">
    <oddHeader>&amp;R&amp;"Times New Roman,Bold"&amp;12Appendix A
Page &amp;P of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16</vt:i4>
      </vt:variant>
    </vt:vector>
  </HeadingPairs>
  <TitlesOfParts>
    <vt:vector size="37" baseType="lpstr">
      <vt:lpstr>ATT H-2A</vt:lpstr>
      <vt:lpstr>1A - ADIT Summary</vt:lpstr>
      <vt:lpstr>1B - ADIT EOY</vt:lpstr>
      <vt:lpstr>1C - ADIT BOY</vt:lpstr>
      <vt:lpstr>1D - ADIT Rate Base Adjustment</vt:lpstr>
      <vt:lpstr>1E - EDIT Amortization</vt:lpstr>
      <vt:lpstr>1F - ADIT Remeasurement</vt:lpstr>
      <vt:lpstr>2 - Other Tax</vt:lpstr>
      <vt:lpstr>3 - Revenue Credits</vt:lpstr>
      <vt:lpstr>Exh E - Cap Add Worksheet</vt:lpstr>
      <vt:lpstr>Exh F - AA-BL Items</vt:lpstr>
      <vt:lpstr>4 - 100 Basis Pt ROE</vt:lpstr>
      <vt:lpstr>5 - Cost Support</vt:lpstr>
      <vt:lpstr>5a - Affiliate Allocations</vt:lpstr>
      <vt:lpstr>6- Reconciliation WS</vt:lpstr>
      <vt:lpstr>7 - Cap Add WS</vt:lpstr>
      <vt:lpstr>8 - Securitization</vt:lpstr>
      <vt:lpstr>9 - Rate Base</vt:lpstr>
      <vt:lpstr>9A - Gross Plant &amp; ARO</vt:lpstr>
      <vt:lpstr>10 - Merger Costs</vt:lpstr>
      <vt:lpstr>11- Depr Rates</vt:lpstr>
      <vt:lpstr>'9A - Gross Plant &amp; ARO'!a</vt:lpstr>
      <vt:lpstr>'11- Depr Rates'!Print_Area</vt:lpstr>
      <vt:lpstr>'1A - ADIT Summary'!Print_Area</vt:lpstr>
      <vt:lpstr>'1C - ADIT BOY'!Print_Area</vt:lpstr>
      <vt:lpstr>'1D - ADIT Rate Base Adjustment'!Print_Area</vt:lpstr>
      <vt:lpstr>'1E - EDIT Amortization'!Print_Area</vt:lpstr>
      <vt:lpstr>'1F - ADIT Remeasurement'!Print_Area</vt:lpstr>
      <vt:lpstr>'2 - Other Tax'!Print_Area</vt:lpstr>
      <vt:lpstr>'5 - Cost Support'!Print_Area</vt:lpstr>
      <vt:lpstr>'ATT H-2A'!Print_Area</vt:lpstr>
      <vt:lpstr>'Exh F - AA-BL Items'!Print_Area</vt:lpstr>
      <vt:lpstr>'1A - ADIT Summary'!Print_Titles</vt:lpstr>
      <vt:lpstr>'5 - Cost Support'!Print_Titles</vt:lpstr>
      <vt:lpstr>'7 - Cap Add WS'!Print_Titles</vt:lpstr>
      <vt:lpstr>'ATT H-2A'!Print_Titles</vt:lpstr>
      <vt:lpstr>'Exh E - Cap Add Worksheet'!Print_Titles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1900-01-01T08:00:00Z</dcterms:created>
  <dcterms:modified xsi:type="dcterms:W3CDTF">2023-04-25T15:06:55Z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090819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LYMAJR</vt:lpwstr>
  </property>
  <property fmtid="{D5CDD505-2E9C-101B-9397-08002B2CF9AE}" pid="7" name="DISdID">
    <vt:lpwstr>165280</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http://webcenterprd.exelonds.com/cs/idcplg?IdcService=DESKTOP_DOC_INFO&amp;dDocName=090819&amp;dID=165280&amp;ClientControlled=DocMan,taskpane&amp;coreContentOnly=1</vt:lpwstr>
  </property>
  <property fmtid="{D5CDD505-2E9C-101B-9397-08002B2CF9AE}" pid="10" name="MSIP_Label_c968b3d1-e05f-4796-9c23-acaf26d588cb_Enabled">
    <vt:lpwstr>true</vt:lpwstr>
  </property>
  <property fmtid="{D5CDD505-2E9C-101B-9397-08002B2CF9AE}" pid="11" name="MSIP_Label_c968b3d1-e05f-4796-9c23-acaf26d588cb_SetDate">
    <vt:lpwstr>2022-03-21T00:35:49Z</vt:lpwstr>
  </property>
  <property fmtid="{D5CDD505-2E9C-101B-9397-08002B2CF9AE}" pid="12" name="MSIP_Label_c968b3d1-e05f-4796-9c23-acaf26d588cb_Method">
    <vt:lpwstr>Standard</vt:lpwstr>
  </property>
  <property fmtid="{D5CDD505-2E9C-101B-9397-08002B2CF9AE}" pid="13" name="MSIP_Label_c968b3d1-e05f-4796-9c23-acaf26d588cb_Name">
    <vt:lpwstr>Company Confidential Information</vt:lpwstr>
  </property>
  <property fmtid="{D5CDD505-2E9C-101B-9397-08002B2CF9AE}" pid="14" name="MSIP_Label_c968b3d1-e05f-4796-9c23-acaf26d588cb_SiteId">
    <vt:lpwstr>600d01fc-055f-49c6-868f-3ecfcc791773</vt:lpwstr>
  </property>
  <property fmtid="{D5CDD505-2E9C-101B-9397-08002B2CF9AE}" pid="15" name="MSIP_Label_c968b3d1-e05f-4796-9c23-acaf26d588cb_ActionId">
    <vt:lpwstr>d45e9d32-7fd0-455b-9bce-86ce35c21280</vt:lpwstr>
  </property>
  <property fmtid="{D5CDD505-2E9C-101B-9397-08002B2CF9AE}" pid="16" name="MSIP_Label_c968b3d1-e05f-4796-9c23-acaf26d588cb_ContentBits">
    <vt:lpwstr>0</vt:lpwstr>
  </property>
</Properties>
</file>